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RVIDOR\Arquivos\Excelencia\Excelência\Projetos\DAE-VG\ETA_VG_250L-S - CHAPEU DO SOL\05 - PROJETO BASICO - ENTREGA 04 - R04\2.0 - PLANILHA_ORÇAMENTARIA\R10\"/>
    </mc:Choice>
  </mc:AlternateContent>
  <bookViews>
    <workbookView xWindow="28680" yWindow="-120" windowWidth="29040" windowHeight="15990" tabRatio="693" firstSheet="2" activeTab="2"/>
  </bookViews>
  <sheets>
    <sheet name="CAPTAÇÃO ÁGUA BRUTA" sheetId="10" r:id="rId1"/>
    <sheet name="ETA" sheetId="13" r:id="rId2"/>
    <sheet name="RAP ETA" sheetId="11" r:id="rId3"/>
    <sheet name="RAP FLORAIS" sheetId="12" r:id="rId4"/>
    <sheet name="ELÉTRICA" sheetId="14" r:id="rId5"/>
    <sheet name="RELAÇÃO DE FORNECEDORES" sheetId="2" r:id="rId6"/>
    <sheet name="Planilha1" sheetId="15" state="hidden"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5" l="1"/>
  <c r="E14" i="15"/>
  <c r="L4" i="15"/>
  <c r="E10" i="15" s="1"/>
  <c r="L3" i="15"/>
  <c r="E7" i="15"/>
  <c r="E6" i="15"/>
  <c r="I3" i="15"/>
  <c r="J9" i="15"/>
  <c r="I4" i="15"/>
  <c r="P136" i="12"/>
  <c r="Q136" i="12" s="1"/>
  <c r="O136" i="12"/>
  <c r="M136" i="12"/>
  <c r="K136" i="12"/>
  <c r="I136" i="12"/>
  <c r="G136" i="12"/>
  <c r="P135" i="12"/>
  <c r="O135" i="12"/>
  <c r="M135" i="12"/>
  <c r="K135" i="12"/>
  <c r="I135" i="12"/>
  <c r="G135" i="12"/>
  <c r="P134" i="12"/>
  <c r="O134" i="12"/>
  <c r="M134" i="12"/>
  <c r="K134" i="12"/>
  <c r="I134" i="12"/>
  <c r="G134" i="12"/>
  <c r="P133" i="12"/>
  <c r="Q133" i="12" s="1"/>
  <c r="O133" i="12"/>
  <c r="M133" i="12"/>
  <c r="K133" i="12"/>
  <c r="I133" i="12"/>
  <c r="G133" i="12"/>
  <c r="P132" i="12"/>
  <c r="Q132" i="12" s="1"/>
  <c r="O132" i="12"/>
  <c r="M132" i="12"/>
  <c r="K132" i="12"/>
  <c r="I132" i="12"/>
  <c r="G132" i="12"/>
  <c r="P131" i="12"/>
  <c r="O131" i="12"/>
  <c r="M131" i="12"/>
  <c r="K131" i="12"/>
  <c r="I131" i="12"/>
  <c r="G131" i="12"/>
  <c r="Q115" i="12"/>
  <c r="G117" i="12"/>
  <c r="I117" i="12"/>
  <c r="K117" i="12"/>
  <c r="M117" i="12"/>
  <c r="O117" i="12"/>
  <c r="P117" i="12"/>
  <c r="Q117" i="12" s="1"/>
  <c r="G118" i="12"/>
  <c r="I118" i="12"/>
  <c r="K118" i="12"/>
  <c r="M118" i="12"/>
  <c r="O118" i="12"/>
  <c r="P119" i="12"/>
  <c r="I119" i="12"/>
  <c r="K119" i="12"/>
  <c r="M119" i="12"/>
  <c r="O119" i="12"/>
  <c r="P120" i="12"/>
  <c r="O120" i="12"/>
  <c r="M120" i="12"/>
  <c r="K120" i="12"/>
  <c r="I120" i="12"/>
  <c r="G120" i="12"/>
  <c r="P116" i="12"/>
  <c r="O116" i="12"/>
  <c r="M116" i="12"/>
  <c r="K116" i="12"/>
  <c r="I116" i="12"/>
  <c r="G116" i="12"/>
  <c r="P115" i="12"/>
  <c r="O115" i="12"/>
  <c r="M115" i="12"/>
  <c r="K115" i="12"/>
  <c r="I115" i="12"/>
  <c r="G115" i="12"/>
  <c r="P114" i="12"/>
  <c r="O114" i="12"/>
  <c r="M114" i="12"/>
  <c r="K114" i="12"/>
  <c r="I114" i="12"/>
  <c r="G114" i="12"/>
  <c r="Q114" i="12" s="1"/>
  <c r="J90" i="12"/>
  <c r="P104" i="12"/>
  <c r="O104" i="12"/>
  <c r="M104" i="12"/>
  <c r="K104" i="12"/>
  <c r="I104" i="12"/>
  <c r="G104" i="12"/>
  <c r="P103" i="12"/>
  <c r="O103" i="12"/>
  <c r="M103" i="12"/>
  <c r="K103" i="12"/>
  <c r="I103" i="12"/>
  <c r="G103" i="12"/>
  <c r="P102" i="12"/>
  <c r="O102" i="12"/>
  <c r="M102" i="12"/>
  <c r="K102" i="12"/>
  <c r="I102" i="12"/>
  <c r="G102" i="12"/>
  <c r="P101" i="12"/>
  <c r="O101" i="12"/>
  <c r="M101" i="12"/>
  <c r="K101" i="12"/>
  <c r="I101" i="12"/>
  <c r="G101" i="12"/>
  <c r="F90" i="12"/>
  <c r="G90" i="12" s="1"/>
  <c r="H90" i="12"/>
  <c r="O90" i="12"/>
  <c r="M90" i="12"/>
  <c r="K90" i="12"/>
  <c r="J71" i="10"/>
  <c r="E12" i="15" l="1"/>
  <c r="E15" i="15"/>
  <c r="E9" i="15"/>
  <c r="E11" i="15"/>
  <c r="E8" i="15"/>
  <c r="Q116" i="12"/>
  <c r="Q131" i="12"/>
  <c r="Q135" i="12"/>
  <c r="Q120" i="12"/>
  <c r="T120" i="12" s="1"/>
  <c r="Q134" i="12"/>
  <c r="R134" i="12" s="1"/>
  <c r="R131" i="12"/>
  <c r="S133" i="12"/>
  <c r="S135" i="12"/>
  <c r="S134" i="12"/>
  <c r="T136" i="12"/>
  <c r="S131" i="12"/>
  <c r="T132" i="12"/>
  <c r="R132" i="12"/>
  <c r="S132" i="12"/>
  <c r="T134" i="12"/>
  <c r="R117" i="12"/>
  <c r="T115" i="12"/>
  <c r="G119" i="12"/>
  <c r="Q119" i="12" s="1"/>
  <c r="P118" i="12"/>
  <c r="Q101" i="12"/>
  <c r="S101" i="12" s="1"/>
  <c r="Q102" i="12"/>
  <c r="T102" i="12" s="1"/>
  <c r="Q104" i="12"/>
  <c r="T104" i="12" s="1"/>
  <c r="T116" i="12"/>
  <c r="S114" i="12"/>
  <c r="Q103" i="12"/>
  <c r="S103" i="12" s="1"/>
  <c r="P90" i="12"/>
  <c r="I90" i="12"/>
  <c r="R104" i="12"/>
  <c r="P25" i="14"/>
  <c r="Q25" i="14" s="1"/>
  <c r="T25" i="14" s="1"/>
  <c r="O25" i="14"/>
  <c r="M25" i="14"/>
  <c r="K25" i="14"/>
  <c r="I25" i="14"/>
  <c r="G25" i="14"/>
  <c r="P24" i="14"/>
  <c r="Q24" i="14" s="1"/>
  <c r="O24" i="14"/>
  <c r="M24" i="14"/>
  <c r="K24" i="14"/>
  <c r="I24" i="14"/>
  <c r="G24" i="14"/>
  <c r="P23" i="14"/>
  <c r="Q23" i="14" s="1"/>
  <c r="T23" i="14" s="1"/>
  <c r="O23" i="14"/>
  <c r="M23" i="14"/>
  <c r="K23" i="14"/>
  <c r="I23" i="14"/>
  <c r="G23" i="14"/>
  <c r="P22" i="14"/>
  <c r="Q22" i="14" s="1"/>
  <c r="O22" i="14"/>
  <c r="M22" i="14"/>
  <c r="K22" i="14"/>
  <c r="I22" i="14"/>
  <c r="G22" i="14"/>
  <c r="P21" i="14"/>
  <c r="Q21" i="14" s="1"/>
  <c r="T21" i="14" s="1"/>
  <c r="O21" i="14"/>
  <c r="M21" i="14"/>
  <c r="K21" i="14"/>
  <c r="I21" i="14"/>
  <c r="G21" i="14"/>
  <c r="P20" i="14"/>
  <c r="Q20" i="14" s="1"/>
  <c r="O20" i="14"/>
  <c r="M20" i="14"/>
  <c r="K20" i="14"/>
  <c r="I20" i="14"/>
  <c r="G20" i="14"/>
  <c r="P19" i="14"/>
  <c r="Q19" i="14" s="1"/>
  <c r="T19" i="14" s="1"/>
  <c r="O19" i="14"/>
  <c r="M19" i="14"/>
  <c r="K19" i="14"/>
  <c r="I19" i="14"/>
  <c r="G19" i="14"/>
  <c r="P18" i="14"/>
  <c r="Q18" i="14" s="1"/>
  <c r="O18" i="14"/>
  <c r="M18" i="14"/>
  <c r="K18" i="14"/>
  <c r="I18" i="14"/>
  <c r="G18" i="14"/>
  <c r="P17" i="14"/>
  <c r="Q17" i="14" s="1"/>
  <c r="T17" i="14" s="1"/>
  <c r="O17" i="14"/>
  <c r="M17" i="14"/>
  <c r="K17" i="14"/>
  <c r="I17" i="14"/>
  <c r="G17" i="14"/>
  <c r="P16" i="14"/>
  <c r="O16" i="14"/>
  <c r="M16" i="14"/>
  <c r="K16" i="14"/>
  <c r="I16" i="14"/>
  <c r="G16" i="14"/>
  <c r="P15" i="14"/>
  <c r="O15" i="14"/>
  <c r="M15" i="14"/>
  <c r="K15" i="14"/>
  <c r="I15" i="14"/>
  <c r="G15" i="14"/>
  <c r="P14" i="14"/>
  <c r="O14" i="14"/>
  <c r="M14" i="14"/>
  <c r="K14" i="14"/>
  <c r="I14" i="14"/>
  <c r="G14" i="14"/>
  <c r="P13" i="14"/>
  <c r="Q13" i="14" s="1"/>
  <c r="T13" i="14" s="1"/>
  <c r="O13" i="14"/>
  <c r="M13" i="14"/>
  <c r="K13" i="14"/>
  <c r="I13" i="14"/>
  <c r="G13" i="14"/>
  <c r="P12" i="14"/>
  <c r="Q12" i="14" s="1"/>
  <c r="O12" i="14"/>
  <c r="M12" i="14"/>
  <c r="K12" i="14"/>
  <c r="I12" i="14"/>
  <c r="G12" i="14"/>
  <c r="P11" i="14"/>
  <c r="Q11" i="14" s="1"/>
  <c r="T11" i="14" s="1"/>
  <c r="O11" i="14"/>
  <c r="M11" i="14"/>
  <c r="K11" i="14"/>
  <c r="I11" i="14"/>
  <c r="G11" i="14"/>
  <c r="P10" i="14"/>
  <c r="Q10" i="14" s="1"/>
  <c r="O10" i="14"/>
  <c r="M10" i="14"/>
  <c r="K10" i="14"/>
  <c r="I10" i="14"/>
  <c r="G10" i="14"/>
  <c r="Q118" i="12" l="1"/>
  <c r="R118" i="12" s="1"/>
  <c r="S104" i="12"/>
  <c r="R102" i="12"/>
  <c r="R136" i="12"/>
  <c r="S136" i="12"/>
  <c r="T131" i="12"/>
  <c r="T133" i="12"/>
  <c r="R133" i="12"/>
  <c r="T135" i="12"/>
  <c r="R135" i="12"/>
  <c r="R120" i="12"/>
  <c r="S115" i="12"/>
  <c r="R115" i="12"/>
  <c r="S117" i="12"/>
  <c r="T117" i="12"/>
  <c r="S119" i="12"/>
  <c r="T119" i="12"/>
  <c r="R119" i="12"/>
  <c r="T118" i="12"/>
  <c r="T114" i="12"/>
  <c r="S118" i="12"/>
  <c r="S120" i="12"/>
  <c r="R114" i="12"/>
  <c r="R116" i="12"/>
  <c r="S116" i="12"/>
  <c r="S102" i="12"/>
  <c r="T103" i="12"/>
  <c r="R103" i="12"/>
  <c r="T101" i="12"/>
  <c r="R101" i="12"/>
  <c r="Q90" i="12"/>
  <c r="T90" i="12" s="1"/>
  <c r="Q14" i="14"/>
  <c r="S14" i="14" s="1"/>
  <c r="Q15" i="14"/>
  <c r="T15" i="14" s="1"/>
  <c r="Q16" i="14"/>
  <c r="S16" i="14" s="1"/>
  <c r="R14" i="14"/>
  <c r="R24" i="14"/>
  <c r="S24" i="14"/>
  <c r="T24" i="14"/>
  <c r="R22" i="14"/>
  <c r="S22" i="14"/>
  <c r="T22" i="14"/>
  <c r="R10" i="14"/>
  <c r="S10" i="14"/>
  <c r="T10" i="14"/>
  <c r="R18" i="14"/>
  <c r="S18" i="14"/>
  <c r="T18" i="14"/>
  <c r="R12" i="14"/>
  <c r="S12" i="14"/>
  <c r="T12" i="14"/>
  <c r="R20" i="14"/>
  <c r="S20" i="14"/>
  <c r="T20" i="14"/>
  <c r="R11" i="14"/>
  <c r="R13" i="14"/>
  <c r="R17" i="14"/>
  <c r="R19" i="14"/>
  <c r="R21" i="14"/>
  <c r="R23" i="14"/>
  <c r="R25" i="14"/>
  <c r="S11" i="14"/>
  <c r="S13" i="14"/>
  <c r="S17" i="14"/>
  <c r="S19" i="14"/>
  <c r="S21" i="14"/>
  <c r="S23" i="14"/>
  <c r="S25" i="14"/>
  <c r="G93" i="11"/>
  <c r="I93" i="11"/>
  <c r="P57" i="13"/>
  <c r="O57" i="13"/>
  <c r="M57" i="13"/>
  <c r="K57" i="13"/>
  <c r="I57" i="13"/>
  <c r="G57" i="13"/>
  <c r="J25" i="13"/>
  <c r="H41" i="10"/>
  <c r="F41" i="10"/>
  <c r="G41" i="10" s="1"/>
  <c r="O41" i="10"/>
  <c r="M41" i="10"/>
  <c r="K41" i="10"/>
  <c r="I41" i="10"/>
  <c r="R90" i="12" l="1"/>
  <c r="S90" i="12"/>
  <c r="R16" i="14"/>
  <c r="T16" i="14"/>
  <c r="R15" i="14"/>
  <c r="T14" i="14"/>
  <c r="S15" i="14"/>
  <c r="Q57" i="13"/>
  <c r="T57" i="13" s="1"/>
  <c r="P41" i="10"/>
  <c r="Q41" i="10" s="1"/>
  <c r="T41" i="10"/>
  <c r="G11" i="12"/>
  <c r="I11" i="12"/>
  <c r="K11" i="12"/>
  <c r="G12" i="12"/>
  <c r="I12" i="12"/>
  <c r="K12" i="12"/>
  <c r="G13" i="12"/>
  <c r="I13" i="12"/>
  <c r="K13" i="12"/>
  <c r="G14" i="12"/>
  <c r="I14" i="12"/>
  <c r="K14" i="12"/>
  <c r="G15" i="12"/>
  <c r="I15" i="12"/>
  <c r="K15" i="12"/>
  <c r="G16" i="12"/>
  <c r="I16" i="12"/>
  <c r="K16" i="12"/>
  <c r="G17" i="12"/>
  <c r="I17" i="12"/>
  <c r="K17" i="12"/>
  <c r="G18" i="12"/>
  <c r="I18" i="12"/>
  <c r="K18" i="12"/>
  <c r="G19" i="12"/>
  <c r="I19" i="12"/>
  <c r="K19" i="12"/>
  <c r="G20" i="12"/>
  <c r="I20" i="12"/>
  <c r="K20" i="12"/>
  <c r="G21" i="12"/>
  <c r="I21" i="12"/>
  <c r="K21" i="12"/>
  <c r="G22" i="12"/>
  <c r="I22" i="12"/>
  <c r="K22" i="12"/>
  <c r="G23" i="12"/>
  <c r="I23" i="12"/>
  <c r="K23" i="12"/>
  <c r="G24" i="12"/>
  <c r="I24" i="12"/>
  <c r="K24" i="12"/>
  <c r="G25" i="12"/>
  <c r="I25" i="12"/>
  <c r="K25" i="12"/>
  <c r="G26" i="12"/>
  <c r="I26" i="12"/>
  <c r="K26" i="12"/>
  <c r="G27" i="12"/>
  <c r="I27" i="12"/>
  <c r="K27" i="12"/>
  <c r="G28" i="12"/>
  <c r="I28" i="12"/>
  <c r="K28" i="12"/>
  <c r="G29" i="12"/>
  <c r="I29" i="12"/>
  <c r="K29" i="12"/>
  <c r="G30" i="12"/>
  <c r="I30" i="12"/>
  <c r="K30" i="12"/>
  <c r="G31" i="12"/>
  <c r="I31" i="12"/>
  <c r="K31" i="12"/>
  <c r="G32" i="12"/>
  <c r="I32" i="12"/>
  <c r="K32" i="12"/>
  <c r="G33" i="12"/>
  <c r="I33" i="12"/>
  <c r="K33" i="12"/>
  <c r="G34" i="12"/>
  <c r="I34" i="12"/>
  <c r="K34" i="12"/>
  <c r="G35" i="12"/>
  <c r="I35" i="12"/>
  <c r="K35" i="12"/>
  <c r="G36" i="12"/>
  <c r="I36" i="12"/>
  <c r="K36" i="12"/>
  <c r="G37" i="12"/>
  <c r="I37" i="12"/>
  <c r="K37" i="12"/>
  <c r="G38" i="12"/>
  <c r="I38" i="12"/>
  <c r="K38" i="12"/>
  <c r="G39" i="12"/>
  <c r="I39" i="12"/>
  <c r="K39" i="12"/>
  <c r="G40" i="12"/>
  <c r="I40" i="12"/>
  <c r="K40" i="12"/>
  <c r="G41" i="12"/>
  <c r="I41" i="12"/>
  <c r="K41" i="12"/>
  <c r="G42" i="12"/>
  <c r="I42" i="12"/>
  <c r="K42" i="12"/>
  <c r="G43" i="12"/>
  <c r="I43" i="12"/>
  <c r="K43" i="12"/>
  <c r="G44" i="12"/>
  <c r="I44" i="12"/>
  <c r="K44" i="12"/>
  <c r="G45" i="12"/>
  <c r="I45" i="12"/>
  <c r="K45" i="12"/>
  <c r="G46" i="12"/>
  <c r="I46" i="12"/>
  <c r="K46" i="12"/>
  <c r="G47" i="12"/>
  <c r="I47" i="12"/>
  <c r="K47" i="12"/>
  <c r="G48" i="12"/>
  <c r="I48" i="12"/>
  <c r="K48" i="12"/>
  <c r="G49" i="12"/>
  <c r="I49" i="12"/>
  <c r="K49" i="12"/>
  <c r="G50" i="12"/>
  <c r="I50" i="12"/>
  <c r="K50" i="12"/>
  <c r="G51" i="12"/>
  <c r="I51" i="12"/>
  <c r="K51" i="12"/>
  <c r="G52" i="12"/>
  <c r="I52" i="12"/>
  <c r="K52" i="12"/>
  <c r="G53" i="12"/>
  <c r="I53" i="12"/>
  <c r="K53" i="12"/>
  <c r="G54" i="12"/>
  <c r="I54" i="12"/>
  <c r="K54" i="12"/>
  <c r="G55" i="12"/>
  <c r="I55" i="12"/>
  <c r="K55" i="12"/>
  <c r="G56" i="12"/>
  <c r="I56" i="12"/>
  <c r="K56" i="12"/>
  <c r="G57" i="12"/>
  <c r="I57" i="12"/>
  <c r="K57" i="12"/>
  <c r="G58" i="12"/>
  <c r="I58" i="12"/>
  <c r="K58" i="12"/>
  <c r="M42" i="12"/>
  <c r="O42" i="12"/>
  <c r="P42" i="12"/>
  <c r="M43" i="12"/>
  <c r="O43" i="12"/>
  <c r="P43" i="12"/>
  <c r="Q43" i="12" s="1"/>
  <c r="M44" i="12"/>
  <c r="O44" i="12"/>
  <c r="P44" i="12"/>
  <c r="M45" i="12"/>
  <c r="O45" i="12"/>
  <c r="P45" i="12"/>
  <c r="Q45" i="12" s="1"/>
  <c r="M46" i="12"/>
  <c r="O46" i="12"/>
  <c r="P46" i="12"/>
  <c r="Q46" i="12" s="1"/>
  <c r="M47" i="12"/>
  <c r="O47" i="12"/>
  <c r="P47" i="12"/>
  <c r="Q47" i="12" s="1"/>
  <c r="M48" i="12"/>
  <c r="O48" i="12"/>
  <c r="P48" i="12"/>
  <c r="M49" i="12"/>
  <c r="O49" i="12"/>
  <c r="P49" i="12"/>
  <c r="Q49" i="12" s="1"/>
  <c r="M50" i="12"/>
  <c r="O50" i="12"/>
  <c r="P50" i="12"/>
  <c r="M51" i="12"/>
  <c r="O51" i="12"/>
  <c r="P51" i="12"/>
  <c r="Q51" i="12" s="1"/>
  <c r="M52" i="12"/>
  <c r="O52" i="12"/>
  <c r="P52" i="12"/>
  <c r="M53" i="12"/>
  <c r="O53" i="12"/>
  <c r="P53" i="12"/>
  <c r="M54" i="12"/>
  <c r="O54" i="12"/>
  <c r="P54" i="12"/>
  <c r="Q54" i="12" s="1"/>
  <c r="M55" i="12"/>
  <c r="O55" i="12"/>
  <c r="P55" i="12"/>
  <c r="Q55" i="12" s="1"/>
  <c r="M56" i="12"/>
  <c r="O56" i="12"/>
  <c r="P56" i="12"/>
  <c r="Q56" i="12" s="1"/>
  <c r="M33" i="12"/>
  <c r="M34" i="12"/>
  <c r="M35" i="12"/>
  <c r="M36" i="12"/>
  <c r="M37" i="12"/>
  <c r="M38" i="12"/>
  <c r="M39" i="12"/>
  <c r="O33" i="12"/>
  <c r="O34" i="12"/>
  <c r="O35" i="12"/>
  <c r="O36" i="12"/>
  <c r="O37" i="12"/>
  <c r="O38" i="12"/>
  <c r="O39" i="12"/>
  <c r="P33" i="12"/>
  <c r="Q33" i="12" s="1"/>
  <c r="P34" i="12"/>
  <c r="P35" i="12"/>
  <c r="Q35" i="12" s="1"/>
  <c r="P36" i="12"/>
  <c r="P37" i="12"/>
  <c r="P38" i="12"/>
  <c r="Q38" i="12" s="1"/>
  <c r="S38" i="12" s="1"/>
  <c r="P39" i="12"/>
  <c r="Q39" i="12" s="1"/>
  <c r="M40" i="12"/>
  <c r="M41" i="12"/>
  <c r="M57" i="12"/>
  <c r="M58" i="12"/>
  <c r="O40" i="12"/>
  <c r="O41" i="12"/>
  <c r="O57" i="12"/>
  <c r="O58" i="12"/>
  <c r="P40" i="12"/>
  <c r="Q40" i="12" s="1"/>
  <c r="P41" i="12"/>
  <c r="Q41" i="12" s="1"/>
  <c r="T41" i="12" s="1"/>
  <c r="P57" i="12"/>
  <c r="P58" i="12"/>
  <c r="Q58" i="12" s="1"/>
  <c r="Q50" i="12" l="1"/>
  <c r="Q42" i="12"/>
  <c r="Q37" i="12"/>
  <c r="S37" i="12" s="1"/>
  <c r="Q53" i="12"/>
  <c r="T53" i="12" s="1"/>
  <c r="Q34" i="12"/>
  <c r="S34" i="12" s="1"/>
  <c r="Q36" i="12"/>
  <c r="T36" i="12" s="1"/>
  <c r="Q57" i="12"/>
  <c r="R57" i="12" s="1"/>
  <c r="Q52" i="12"/>
  <c r="T52" i="12" s="1"/>
  <c r="Q48" i="12"/>
  <c r="S48" i="12" s="1"/>
  <c r="Q44" i="12"/>
  <c r="R44" i="12" s="1"/>
  <c r="R57" i="13"/>
  <c r="S57" i="13"/>
  <c r="S41" i="10"/>
  <c r="R41" i="10"/>
  <c r="T38" i="12"/>
  <c r="R55" i="12"/>
  <c r="T55" i="12"/>
  <c r="S55" i="12"/>
  <c r="R43" i="12"/>
  <c r="S43" i="12"/>
  <c r="T43" i="12"/>
  <c r="T51" i="12"/>
  <c r="R51" i="12"/>
  <c r="S51" i="12"/>
  <c r="R47" i="12"/>
  <c r="S47" i="12"/>
  <c r="T47" i="12"/>
  <c r="S56" i="12"/>
  <c r="R56" i="12"/>
  <c r="T56" i="12"/>
  <c r="S54" i="12"/>
  <c r="T54" i="12"/>
  <c r="R54" i="12"/>
  <c r="S50" i="12"/>
  <c r="T50" i="12"/>
  <c r="R50" i="12"/>
  <c r="S46" i="12"/>
  <c r="T46" i="12"/>
  <c r="R46" i="12"/>
  <c r="R53" i="12"/>
  <c r="R49" i="12"/>
  <c r="T49" i="12"/>
  <c r="S49" i="12"/>
  <c r="R45" i="12"/>
  <c r="T45" i="12"/>
  <c r="S45" i="12"/>
  <c r="S35" i="12"/>
  <c r="R35" i="12"/>
  <c r="T35" i="12"/>
  <c r="S39" i="12"/>
  <c r="T39" i="12"/>
  <c r="R39" i="12"/>
  <c r="R58" i="12"/>
  <c r="T58" i="12"/>
  <c r="S58" i="12"/>
  <c r="S42" i="12"/>
  <c r="T42" i="12"/>
  <c r="R42" i="12"/>
  <c r="S33" i="12"/>
  <c r="R33" i="12"/>
  <c r="T33" i="12"/>
  <c r="R38" i="12"/>
  <c r="R34" i="12"/>
  <c r="S40" i="12"/>
  <c r="R40" i="12"/>
  <c r="T40" i="12"/>
  <c r="R41" i="12"/>
  <c r="S41" i="12"/>
  <c r="S53" i="12" l="1"/>
  <c r="R37" i="12"/>
  <c r="T37" i="12"/>
  <c r="T34" i="12"/>
  <c r="T44" i="12"/>
  <c r="R48" i="12"/>
  <c r="S57" i="12"/>
  <c r="S52" i="12"/>
  <c r="T57" i="12"/>
  <c r="R52" i="12"/>
  <c r="S44" i="12"/>
  <c r="S36" i="12"/>
  <c r="T48" i="12"/>
  <c r="R36" i="12"/>
  <c r="P100" i="11"/>
  <c r="Q100" i="11" s="1"/>
  <c r="O100" i="11"/>
  <c r="M100" i="11"/>
  <c r="K100" i="11"/>
  <c r="I100" i="11"/>
  <c r="G100" i="11"/>
  <c r="P99" i="11"/>
  <c r="O99" i="11"/>
  <c r="M99" i="11"/>
  <c r="K99" i="11"/>
  <c r="I99" i="11"/>
  <c r="G99" i="11"/>
  <c r="P98" i="11"/>
  <c r="O98" i="11"/>
  <c r="M98" i="11"/>
  <c r="K98" i="11"/>
  <c r="I98" i="11"/>
  <c r="G98" i="11"/>
  <c r="P97" i="11"/>
  <c r="O97" i="11"/>
  <c r="M97" i="11"/>
  <c r="K97" i="11"/>
  <c r="I97" i="11"/>
  <c r="G97" i="11"/>
  <c r="P96" i="11"/>
  <c r="O96" i="11"/>
  <c r="M96" i="11"/>
  <c r="K96" i="11"/>
  <c r="I96" i="11"/>
  <c r="G96" i="11"/>
  <c r="P95" i="11"/>
  <c r="O95" i="11"/>
  <c r="M95" i="11"/>
  <c r="K95" i="11"/>
  <c r="I95" i="11"/>
  <c r="G95" i="11"/>
  <c r="P94" i="11"/>
  <c r="O94" i="11"/>
  <c r="M94" i="11"/>
  <c r="K94" i="11"/>
  <c r="I94" i="11"/>
  <c r="G94" i="11"/>
  <c r="P93" i="11"/>
  <c r="Q93" i="11" s="1"/>
  <c r="O93" i="11"/>
  <c r="M93" i="11"/>
  <c r="K93" i="11"/>
  <c r="P92" i="11"/>
  <c r="O92" i="11"/>
  <c r="M92" i="11"/>
  <c r="K92" i="11"/>
  <c r="I92" i="11"/>
  <c r="G92" i="11"/>
  <c r="P91" i="11"/>
  <c r="Q91" i="11" s="1"/>
  <c r="O91" i="11"/>
  <c r="M91" i="11"/>
  <c r="K91" i="11"/>
  <c r="I91" i="11"/>
  <c r="G91" i="11"/>
  <c r="P90" i="11"/>
  <c r="O90" i="11"/>
  <c r="M90" i="11"/>
  <c r="K90" i="11"/>
  <c r="I90" i="11"/>
  <c r="G90" i="11"/>
  <c r="P89" i="11"/>
  <c r="O89" i="11"/>
  <c r="M89" i="11"/>
  <c r="K89" i="11"/>
  <c r="I89" i="11"/>
  <c r="G89" i="11"/>
  <c r="P88" i="11"/>
  <c r="O88" i="11"/>
  <c r="M88" i="11"/>
  <c r="K88" i="11"/>
  <c r="I88" i="11"/>
  <c r="G88" i="11"/>
  <c r="P87" i="11"/>
  <c r="O87" i="11"/>
  <c r="M87" i="11"/>
  <c r="K87" i="11"/>
  <c r="I87" i="11"/>
  <c r="G87" i="11"/>
  <c r="P86" i="11"/>
  <c r="O86" i="11"/>
  <c r="M86" i="11"/>
  <c r="K86" i="11"/>
  <c r="I86" i="11"/>
  <c r="G86" i="11"/>
  <c r="P85" i="11"/>
  <c r="O85" i="11"/>
  <c r="M85" i="11"/>
  <c r="K85" i="11"/>
  <c r="I85" i="11"/>
  <c r="G85" i="11"/>
  <c r="P73" i="11"/>
  <c r="O73" i="11"/>
  <c r="M73" i="11"/>
  <c r="K73" i="11"/>
  <c r="I73" i="11"/>
  <c r="G73" i="11"/>
  <c r="P72" i="11"/>
  <c r="O72" i="11"/>
  <c r="M72" i="11"/>
  <c r="K72" i="11"/>
  <c r="I72" i="11"/>
  <c r="G72" i="11"/>
  <c r="P71" i="11"/>
  <c r="O71" i="11"/>
  <c r="M71" i="11"/>
  <c r="K71" i="11"/>
  <c r="I71" i="11"/>
  <c r="G71" i="11"/>
  <c r="P70" i="11"/>
  <c r="O70" i="11"/>
  <c r="M70" i="11"/>
  <c r="K70" i="11"/>
  <c r="I70" i="11"/>
  <c r="G70" i="11"/>
  <c r="P69" i="11"/>
  <c r="O69" i="11"/>
  <c r="M69" i="11"/>
  <c r="K69" i="11"/>
  <c r="I69" i="11"/>
  <c r="G69" i="11"/>
  <c r="P68" i="11"/>
  <c r="O68" i="11"/>
  <c r="M68" i="11"/>
  <c r="K68" i="11"/>
  <c r="I68" i="11"/>
  <c r="G68" i="11"/>
  <c r="P67" i="11"/>
  <c r="O67" i="11"/>
  <c r="M67" i="11"/>
  <c r="K67" i="11"/>
  <c r="I67" i="11"/>
  <c r="G67" i="11"/>
  <c r="P66" i="11"/>
  <c r="O66" i="11"/>
  <c r="M66" i="11"/>
  <c r="K66" i="11"/>
  <c r="I66" i="11"/>
  <c r="G66" i="11"/>
  <c r="P65" i="11"/>
  <c r="O65" i="11"/>
  <c r="M65" i="11"/>
  <c r="K65" i="11"/>
  <c r="I65" i="11"/>
  <c r="G65" i="11"/>
  <c r="P64" i="11"/>
  <c r="O64" i="11"/>
  <c r="M64" i="11"/>
  <c r="K64" i="11"/>
  <c r="I64" i="11"/>
  <c r="G64" i="11"/>
  <c r="P63" i="11"/>
  <c r="O63" i="11"/>
  <c r="M63" i="11"/>
  <c r="K63" i="11"/>
  <c r="I63" i="11"/>
  <c r="G63" i="11"/>
  <c r="P62" i="11"/>
  <c r="O62" i="11"/>
  <c r="M62" i="11"/>
  <c r="K62" i="11"/>
  <c r="I62" i="11"/>
  <c r="G62" i="11"/>
  <c r="P61" i="11"/>
  <c r="O61" i="11"/>
  <c r="M61" i="11"/>
  <c r="K61" i="11"/>
  <c r="I61" i="11"/>
  <c r="G61" i="11"/>
  <c r="P60" i="11"/>
  <c r="O60" i="11"/>
  <c r="M60" i="11"/>
  <c r="K60" i="11"/>
  <c r="I60" i="11"/>
  <c r="G60" i="11"/>
  <c r="O59" i="11"/>
  <c r="M59" i="11"/>
  <c r="K59" i="11"/>
  <c r="I59" i="11"/>
  <c r="G59" i="11"/>
  <c r="P58" i="11"/>
  <c r="O58" i="11"/>
  <c r="M58" i="11"/>
  <c r="K58" i="11"/>
  <c r="I58" i="11"/>
  <c r="G58" i="11"/>
  <c r="P57" i="11"/>
  <c r="O57" i="11"/>
  <c r="M57" i="11"/>
  <c r="K57" i="11"/>
  <c r="I57" i="11"/>
  <c r="G57" i="11"/>
  <c r="P56" i="11"/>
  <c r="O56" i="11"/>
  <c r="M56" i="11"/>
  <c r="K56" i="11"/>
  <c r="I56" i="11"/>
  <c r="G56" i="11"/>
  <c r="P55" i="11"/>
  <c r="O55" i="11"/>
  <c r="M55" i="11"/>
  <c r="K55" i="11"/>
  <c r="I55" i="11"/>
  <c r="G55" i="11"/>
  <c r="P54" i="11"/>
  <c r="O54" i="11"/>
  <c r="M54" i="11"/>
  <c r="K54" i="11"/>
  <c r="I54" i="11"/>
  <c r="G54" i="11"/>
  <c r="P53" i="11"/>
  <c r="O53" i="11"/>
  <c r="M53" i="11"/>
  <c r="K53" i="11"/>
  <c r="I53" i="11"/>
  <c r="G53" i="11"/>
  <c r="P52" i="11"/>
  <c r="O52" i="11"/>
  <c r="M52" i="11"/>
  <c r="K52" i="11"/>
  <c r="I52" i="11"/>
  <c r="G52" i="11"/>
  <c r="P51" i="11"/>
  <c r="O51" i="11"/>
  <c r="M51" i="11"/>
  <c r="K51" i="11"/>
  <c r="I51" i="11"/>
  <c r="G51" i="11"/>
  <c r="P50" i="11"/>
  <c r="Q50" i="11" s="1"/>
  <c r="O50" i="11"/>
  <c r="M50" i="11"/>
  <c r="K50" i="11"/>
  <c r="I50" i="11"/>
  <c r="G50" i="11"/>
  <c r="P49" i="11"/>
  <c r="O49" i="11"/>
  <c r="M49" i="11"/>
  <c r="K49" i="11"/>
  <c r="I49" i="11"/>
  <c r="G49" i="11"/>
  <c r="P48" i="11"/>
  <c r="O48" i="11"/>
  <c r="M48" i="11"/>
  <c r="K48" i="11"/>
  <c r="I48" i="11"/>
  <c r="G48" i="11"/>
  <c r="Q94" i="11" l="1"/>
  <c r="T94" i="11" s="1"/>
  <c r="Q96" i="11"/>
  <c r="T96" i="11" s="1"/>
  <c r="Q98" i="11"/>
  <c r="T98" i="11" s="1"/>
  <c r="Q85" i="11"/>
  <c r="T85" i="11" s="1"/>
  <c r="Q87" i="11"/>
  <c r="Q89" i="11"/>
  <c r="S89" i="11" s="1"/>
  <c r="Q86" i="11"/>
  <c r="T86" i="11" s="1"/>
  <c r="Q88" i="11"/>
  <c r="Q90" i="11"/>
  <c r="Q92" i="11"/>
  <c r="T92" i="11" s="1"/>
  <c r="Q95" i="11"/>
  <c r="T95" i="11" s="1"/>
  <c r="Q97" i="11"/>
  <c r="Q99" i="11"/>
  <c r="T99" i="11" s="1"/>
  <c r="T100" i="11"/>
  <c r="S87" i="11"/>
  <c r="T90" i="11"/>
  <c r="T91" i="11"/>
  <c r="T88" i="11"/>
  <c r="R93" i="11"/>
  <c r="R97" i="11"/>
  <c r="Q51" i="11"/>
  <c r="T51" i="11" s="1"/>
  <c r="Q64" i="11"/>
  <c r="S64" i="11" s="1"/>
  <c r="Q67" i="11"/>
  <c r="T67" i="11" s="1"/>
  <c r="Q57" i="11"/>
  <c r="R57" i="11" s="1"/>
  <c r="Q48" i="11"/>
  <c r="S48" i="11" s="1"/>
  <c r="Q63" i="11"/>
  <c r="T63" i="11" s="1"/>
  <c r="Q68" i="11"/>
  <c r="R68" i="11" s="1"/>
  <c r="Q70" i="11"/>
  <c r="R70" i="11" s="1"/>
  <c r="Q49" i="11"/>
  <c r="S49" i="11" s="1"/>
  <c r="Q55" i="11"/>
  <c r="T55" i="11" s="1"/>
  <c r="Q69" i="11"/>
  <c r="T69" i="11" s="1"/>
  <c r="Q71" i="11"/>
  <c r="T71" i="11" s="1"/>
  <c r="Q73" i="11"/>
  <c r="T73" i="11" s="1"/>
  <c r="Q60" i="11"/>
  <c r="S60" i="11" s="1"/>
  <c r="Q62" i="11"/>
  <c r="T62" i="11" s="1"/>
  <c r="Q65" i="11"/>
  <c r="T65" i="11" s="1"/>
  <c r="P59" i="11"/>
  <c r="Q59" i="11" s="1"/>
  <c r="T59" i="11" s="1"/>
  <c r="Q52" i="11"/>
  <c r="T52" i="11" s="1"/>
  <c r="Q61" i="11"/>
  <c r="T61" i="11" s="1"/>
  <c r="Q72" i="11"/>
  <c r="S72" i="11" s="1"/>
  <c r="Q53" i="11"/>
  <c r="S53" i="11" s="1"/>
  <c r="Q56" i="11"/>
  <c r="S56" i="11" s="1"/>
  <c r="Q54" i="11"/>
  <c r="T54" i="11" s="1"/>
  <c r="Q58" i="11"/>
  <c r="T58" i="11" s="1"/>
  <c r="Q66" i="11"/>
  <c r="R66" i="11" s="1"/>
  <c r="S50" i="11"/>
  <c r="R50" i="11"/>
  <c r="T50" i="11"/>
  <c r="R64" i="11"/>
  <c r="S67" i="11"/>
  <c r="S92" i="11" l="1"/>
  <c r="S51" i="11"/>
  <c r="R51" i="11"/>
  <c r="R92" i="11"/>
  <c r="R86" i="11"/>
  <c r="S100" i="11"/>
  <c r="R100" i="11"/>
  <c r="R98" i="11"/>
  <c r="R89" i="11"/>
  <c r="T89" i="11"/>
  <c r="S88" i="11"/>
  <c r="T87" i="11"/>
  <c r="R87" i="11"/>
  <c r="S86" i="11"/>
  <c r="S98" i="11"/>
  <c r="S97" i="11"/>
  <c r="R95" i="11"/>
  <c r="R94" i="11"/>
  <c r="S99" i="11"/>
  <c r="S94" i="11"/>
  <c r="S95" i="11"/>
  <c r="S90" i="11"/>
  <c r="R88" i="11"/>
  <c r="S91" i="11"/>
  <c r="R90" i="11"/>
  <c r="S93" i="11"/>
  <c r="S85" i="11"/>
  <c r="R85" i="11"/>
  <c r="R91" i="11"/>
  <c r="S96" i="11"/>
  <c r="R99" i="11"/>
  <c r="R96" i="11"/>
  <c r="T93" i="11"/>
  <c r="T97" i="11"/>
  <c r="T64" i="11"/>
  <c r="R67" i="11"/>
  <c r="S57" i="11"/>
  <c r="T57" i="11"/>
  <c r="R49" i="11"/>
  <c r="T49" i="11"/>
  <c r="S73" i="11"/>
  <c r="R71" i="11"/>
  <c r="R69" i="11"/>
  <c r="T68" i="11"/>
  <c r="S68" i="11"/>
  <c r="S63" i="11"/>
  <c r="R62" i="11"/>
  <c r="T53" i="11"/>
  <c r="T48" i="11"/>
  <c r="R48" i="11"/>
  <c r="R52" i="11"/>
  <c r="S62" i="11"/>
  <c r="S65" i="11"/>
  <c r="S69" i="11"/>
  <c r="S59" i="11"/>
  <c r="R59" i="11"/>
  <c r="T60" i="11"/>
  <c r="R54" i="11"/>
  <c r="R72" i="11"/>
  <c r="R73" i="11"/>
  <c r="R63" i="11"/>
  <c r="S71" i="11"/>
  <c r="S70" i="11"/>
  <c r="T70" i="11"/>
  <c r="R65" i="11"/>
  <c r="R56" i="11"/>
  <c r="T66" i="11"/>
  <c r="S55" i="11"/>
  <c r="S66" i="11"/>
  <c r="S54" i="11"/>
  <c r="T72" i="11"/>
  <c r="R53" i="11"/>
  <c r="R60" i="11"/>
  <c r="S61" i="11"/>
  <c r="R61" i="11"/>
  <c r="R55" i="11"/>
  <c r="T56" i="11"/>
  <c r="S52" i="11"/>
  <c r="R58" i="11"/>
  <c r="S58" i="11"/>
  <c r="H71" i="10" l="1"/>
  <c r="K31" i="10" l="1"/>
  <c r="K30" i="10"/>
  <c r="K29" i="10"/>
  <c r="K28" i="10"/>
  <c r="K27" i="10"/>
  <c r="K26" i="10"/>
  <c r="K25" i="10"/>
  <c r="K24" i="10"/>
  <c r="K23" i="10"/>
  <c r="K22" i="10"/>
  <c r="K21" i="10"/>
  <c r="K20" i="10"/>
  <c r="K19" i="10"/>
  <c r="K18" i="10"/>
  <c r="K17" i="10"/>
  <c r="K16" i="10"/>
  <c r="K15" i="10"/>
  <c r="K14" i="10"/>
  <c r="K13" i="10"/>
  <c r="K12" i="10"/>
  <c r="K11" i="10"/>
  <c r="K10" i="10"/>
  <c r="I31" i="10"/>
  <c r="I30" i="10"/>
  <c r="I29" i="10"/>
  <c r="I28" i="10"/>
  <c r="I27" i="10"/>
  <c r="I26" i="10"/>
  <c r="I25" i="10"/>
  <c r="I24" i="10"/>
  <c r="I23" i="10"/>
  <c r="I22" i="10"/>
  <c r="I21" i="10"/>
  <c r="I20" i="10"/>
  <c r="I19" i="10"/>
  <c r="I18" i="10"/>
  <c r="I17" i="10"/>
  <c r="I16" i="10"/>
  <c r="I15" i="10"/>
  <c r="I14" i="10"/>
  <c r="I13" i="10"/>
  <c r="I12" i="10"/>
  <c r="I11" i="10"/>
  <c r="I10" i="10"/>
  <c r="G31" i="10"/>
  <c r="G30" i="10"/>
  <c r="G29" i="10"/>
  <c r="G28" i="10"/>
  <c r="G27" i="10"/>
  <c r="G26" i="10"/>
  <c r="G25" i="10"/>
  <c r="G24" i="10"/>
  <c r="G23" i="10"/>
  <c r="G22" i="10"/>
  <c r="G21" i="10"/>
  <c r="G20" i="10"/>
  <c r="G19" i="10"/>
  <c r="G18" i="10"/>
  <c r="G17" i="10"/>
  <c r="G16" i="10"/>
  <c r="G15" i="10"/>
  <c r="G14" i="10"/>
  <c r="G13" i="10"/>
  <c r="G12" i="10"/>
  <c r="G11" i="10"/>
  <c r="G10" i="10"/>
  <c r="M23" i="10"/>
  <c r="M24" i="10"/>
  <c r="O23" i="10"/>
  <c r="O24" i="10"/>
  <c r="P23" i="10"/>
  <c r="Q23" i="10" s="1"/>
  <c r="T23" i="10" s="1"/>
  <c r="P24" i="10"/>
  <c r="M25" i="10"/>
  <c r="M26" i="10"/>
  <c r="M27" i="10"/>
  <c r="O25" i="10"/>
  <c r="O26" i="10"/>
  <c r="O27" i="10"/>
  <c r="P25" i="10"/>
  <c r="Q25" i="10" s="1"/>
  <c r="P26" i="10"/>
  <c r="P27" i="10"/>
  <c r="Q27" i="10" s="1"/>
  <c r="M19" i="10"/>
  <c r="O19" i="10"/>
  <c r="P19" i="10"/>
  <c r="M20" i="10"/>
  <c r="O20" i="10"/>
  <c r="P20" i="10"/>
  <c r="M21" i="10"/>
  <c r="O21" i="10"/>
  <c r="P21" i="10"/>
  <c r="M22" i="10"/>
  <c r="O22" i="10"/>
  <c r="P22" i="10"/>
  <c r="M28" i="10"/>
  <c r="O28" i="10"/>
  <c r="P28" i="10"/>
  <c r="M29" i="10"/>
  <c r="O29" i="10"/>
  <c r="P29" i="10"/>
  <c r="M30" i="10"/>
  <c r="O30" i="10"/>
  <c r="P30" i="10"/>
  <c r="M31" i="10"/>
  <c r="O31" i="10"/>
  <c r="P31" i="10"/>
  <c r="Q30" i="10" l="1"/>
  <c r="T30" i="10" s="1"/>
  <c r="Q21" i="10"/>
  <c r="R21" i="10" s="1"/>
  <c r="Q29" i="10"/>
  <c r="S29" i="10" s="1"/>
  <c r="Q22" i="10"/>
  <c r="S22" i="10" s="1"/>
  <c r="Q19" i="10"/>
  <c r="R19" i="10" s="1"/>
  <c r="Q26" i="10"/>
  <c r="T26" i="10" s="1"/>
  <c r="Q24" i="10"/>
  <c r="T24" i="10" s="1"/>
  <c r="Q20" i="10"/>
  <c r="T20" i="10" s="1"/>
  <c r="Q31" i="10"/>
  <c r="S31" i="10" s="1"/>
  <c r="Q28" i="10"/>
  <c r="T28" i="10" s="1"/>
  <c r="S21" i="10"/>
  <c r="R23" i="10"/>
  <c r="S23" i="10"/>
  <c r="S25" i="10"/>
  <c r="T25" i="10"/>
  <c r="R25" i="10"/>
  <c r="T27" i="10"/>
  <c r="S27" i="10"/>
  <c r="R27" i="10"/>
  <c r="T21" i="10"/>
  <c r="T19" i="10" l="1"/>
  <c r="T22" i="10"/>
  <c r="T29" i="10"/>
  <c r="R26" i="10"/>
  <c r="R30" i="10"/>
  <c r="R22" i="10"/>
  <c r="R20" i="10"/>
  <c r="S19" i="10"/>
  <c r="S30" i="10"/>
  <c r="R29" i="10"/>
  <c r="S26" i="10"/>
  <c r="S20" i="10"/>
  <c r="S24" i="10"/>
  <c r="R24" i="10"/>
  <c r="R31" i="10"/>
  <c r="T31" i="10"/>
  <c r="S28" i="10"/>
  <c r="R28" i="10"/>
  <c r="K10" i="11" l="1"/>
  <c r="I10" i="11"/>
  <c r="P101" i="13"/>
  <c r="O101" i="13"/>
  <c r="M101" i="13"/>
  <c r="K101" i="13"/>
  <c r="I101" i="13"/>
  <c r="G101" i="13"/>
  <c r="G102" i="13"/>
  <c r="I102" i="13"/>
  <c r="K102" i="13"/>
  <c r="M102" i="13"/>
  <c r="O102" i="13"/>
  <c r="P102" i="13"/>
  <c r="Q102" i="13" s="1"/>
  <c r="G100" i="13"/>
  <c r="I100" i="13"/>
  <c r="K100" i="13"/>
  <c r="M100" i="13"/>
  <c r="O100" i="13"/>
  <c r="P100" i="13"/>
  <c r="Q100" i="13" s="1"/>
  <c r="P99" i="13"/>
  <c r="Q99" i="13" s="1"/>
  <c r="O99" i="13"/>
  <c r="M99" i="13"/>
  <c r="K99" i="13"/>
  <c r="I99" i="13"/>
  <c r="G99" i="13"/>
  <c r="P88" i="13"/>
  <c r="Q88" i="13" s="1"/>
  <c r="T88" i="13" s="1"/>
  <c r="O88" i="13"/>
  <c r="M88" i="13"/>
  <c r="K88" i="13"/>
  <c r="I88" i="13"/>
  <c r="G88" i="13"/>
  <c r="P77" i="13"/>
  <c r="O77" i="13"/>
  <c r="M77" i="13"/>
  <c r="K77" i="13"/>
  <c r="I77" i="13"/>
  <c r="G77" i="13"/>
  <c r="G47" i="13"/>
  <c r="I47" i="13"/>
  <c r="K47" i="13"/>
  <c r="M47" i="13"/>
  <c r="O47" i="13"/>
  <c r="P47" i="13"/>
  <c r="Q47" i="13" s="1"/>
  <c r="P67" i="13"/>
  <c r="O67" i="13"/>
  <c r="M67" i="13"/>
  <c r="K67" i="13"/>
  <c r="I67" i="13"/>
  <c r="G67" i="13"/>
  <c r="P46" i="13"/>
  <c r="Q46" i="13" s="1"/>
  <c r="O46" i="13"/>
  <c r="M46" i="13"/>
  <c r="K46" i="13"/>
  <c r="I46" i="13"/>
  <c r="G46" i="13"/>
  <c r="Q101" i="13" l="1"/>
  <c r="T101" i="13" s="1"/>
  <c r="Q77" i="13"/>
  <c r="S101" i="13"/>
  <c r="S102" i="13"/>
  <c r="R102" i="13"/>
  <c r="Q67" i="13"/>
  <c r="R67" i="13" s="1"/>
  <c r="T102" i="13"/>
  <c r="S100" i="13"/>
  <c r="T100" i="13"/>
  <c r="R100" i="13"/>
  <c r="T99" i="13"/>
  <c r="R88" i="13"/>
  <c r="S88" i="13"/>
  <c r="T77" i="13"/>
  <c r="S47" i="13"/>
  <c r="R47" i="13"/>
  <c r="T47" i="13"/>
  <c r="T46" i="13"/>
  <c r="S46" i="13"/>
  <c r="R46" i="13"/>
  <c r="P35" i="13"/>
  <c r="O35" i="13"/>
  <c r="M35" i="13"/>
  <c r="K35" i="13"/>
  <c r="I35" i="13"/>
  <c r="G35" i="13"/>
  <c r="P25" i="13"/>
  <c r="Q25" i="13" s="1"/>
  <c r="T25" i="13" s="1"/>
  <c r="O25" i="13"/>
  <c r="M25" i="13"/>
  <c r="K25" i="13"/>
  <c r="I25" i="13"/>
  <c r="G25" i="13"/>
  <c r="P15" i="13"/>
  <c r="O15" i="13"/>
  <c r="M15" i="13"/>
  <c r="K15" i="13"/>
  <c r="I15" i="13"/>
  <c r="G15" i="13"/>
  <c r="P14" i="13"/>
  <c r="O14" i="13"/>
  <c r="M14" i="13"/>
  <c r="K14" i="13"/>
  <c r="I14" i="13"/>
  <c r="G14" i="13"/>
  <c r="P13" i="13"/>
  <c r="O13" i="13"/>
  <c r="M13" i="13"/>
  <c r="K13" i="13"/>
  <c r="I13" i="13"/>
  <c r="G13" i="13"/>
  <c r="P12" i="13"/>
  <c r="O12" i="13"/>
  <c r="M12" i="13"/>
  <c r="K12" i="13"/>
  <c r="I12" i="13"/>
  <c r="G12" i="13"/>
  <c r="P11" i="13"/>
  <c r="O11" i="13"/>
  <c r="M11" i="13"/>
  <c r="K11" i="13"/>
  <c r="I11" i="13"/>
  <c r="G11" i="13"/>
  <c r="P10" i="13"/>
  <c r="O10" i="13"/>
  <c r="M10" i="13"/>
  <c r="K10" i="13"/>
  <c r="I10" i="13"/>
  <c r="G10" i="13"/>
  <c r="P91" i="10"/>
  <c r="Q91" i="10" s="1"/>
  <c r="O91" i="10"/>
  <c r="M91" i="10"/>
  <c r="K91" i="10"/>
  <c r="I91" i="10"/>
  <c r="G91" i="10"/>
  <c r="P81" i="10"/>
  <c r="Q81" i="10" s="1"/>
  <c r="O81" i="10"/>
  <c r="M81" i="10"/>
  <c r="K81" i="10"/>
  <c r="I81" i="10"/>
  <c r="G81" i="10"/>
  <c r="R101" i="13" l="1"/>
  <c r="T67" i="13"/>
  <c r="S67" i="13"/>
  <c r="Q10" i="13"/>
  <c r="T10" i="13" s="1"/>
  <c r="Q14" i="13"/>
  <c r="T14" i="13" s="1"/>
  <c r="Q12" i="13"/>
  <c r="T12" i="13" s="1"/>
  <c r="Q15" i="13"/>
  <c r="R15" i="13" s="1"/>
  <c r="Q11" i="13"/>
  <c r="S11" i="13" s="1"/>
  <c r="Q13" i="13"/>
  <c r="S13" i="13" s="1"/>
  <c r="R99" i="13"/>
  <c r="S99" i="13"/>
  <c r="S77" i="13"/>
  <c r="R77" i="13"/>
  <c r="Q35" i="13"/>
  <c r="T35" i="13" s="1"/>
  <c r="R25" i="13"/>
  <c r="S25" i="13"/>
  <c r="T91" i="10"/>
  <c r="S91" i="10"/>
  <c r="R91" i="10"/>
  <c r="T81" i="10"/>
  <c r="S81" i="10"/>
  <c r="R81" i="10"/>
  <c r="M11" i="12"/>
  <c r="O11" i="12"/>
  <c r="P11" i="12"/>
  <c r="Q11" i="12" s="1"/>
  <c r="M17" i="12"/>
  <c r="M18" i="12"/>
  <c r="M19" i="12"/>
  <c r="O17" i="12"/>
  <c r="O18" i="12"/>
  <c r="O19" i="12"/>
  <c r="P17" i="12"/>
  <c r="Q17" i="12" s="1"/>
  <c r="P18" i="12"/>
  <c r="P19" i="12"/>
  <c r="Q19" i="12" s="1"/>
  <c r="M20" i="12"/>
  <c r="M21" i="12"/>
  <c r="M22" i="12"/>
  <c r="O20" i="12"/>
  <c r="O21" i="12"/>
  <c r="O22" i="12"/>
  <c r="P20" i="12"/>
  <c r="Q20" i="12" s="1"/>
  <c r="P21" i="12"/>
  <c r="P22" i="12"/>
  <c r="Q22" i="12" s="1"/>
  <c r="T22" i="12" s="1"/>
  <c r="M23" i="12"/>
  <c r="M24" i="12"/>
  <c r="M25" i="12"/>
  <c r="O23" i="12"/>
  <c r="O24" i="12"/>
  <c r="O25" i="12"/>
  <c r="P23" i="12"/>
  <c r="P24" i="12"/>
  <c r="P25" i="12"/>
  <c r="M26" i="12"/>
  <c r="M27" i="12"/>
  <c r="M28" i="12"/>
  <c r="O26" i="12"/>
  <c r="O27" i="12"/>
  <c r="O28" i="12"/>
  <c r="P26" i="12"/>
  <c r="P27" i="12"/>
  <c r="P28" i="12"/>
  <c r="Q28" i="12" s="1"/>
  <c r="T28" i="12" s="1"/>
  <c r="M29" i="12"/>
  <c r="M30" i="12"/>
  <c r="M31" i="12"/>
  <c r="O29" i="12"/>
  <c r="O30" i="12"/>
  <c r="O31" i="12"/>
  <c r="P29" i="12"/>
  <c r="Q29" i="12" s="1"/>
  <c r="P30" i="12"/>
  <c r="P31" i="12"/>
  <c r="M32" i="12"/>
  <c r="O32" i="12"/>
  <c r="P32" i="12"/>
  <c r="G10" i="12"/>
  <c r="I10" i="12"/>
  <c r="K10" i="12"/>
  <c r="M10" i="12"/>
  <c r="O10" i="12"/>
  <c r="P10" i="12"/>
  <c r="M12" i="12"/>
  <c r="O12" i="12"/>
  <c r="P12" i="12"/>
  <c r="Q12" i="12" s="1"/>
  <c r="M13" i="12"/>
  <c r="O13" i="12"/>
  <c r="P13" i="12"/>
  <c r="Q13" i="12" s="1"/>
  <c r="S13" i="12" s="1"/>
  <c r="M14" i="12"/>
  <c r="O14" i="12"/>
  <c r="P14" i="12"/>
  <c r="Q14" i="12" s="1"/>
  <c r="M15" i="12"/>
  <c r="O15" i="12"/>
  <c r="P15" i="12"/>
  <c r="Q15" i="12" s="1"/>
  <c r="M16" i="12"/>
  <c r="O16" i="12"/>
  <c r="P16" i="12"/>
  <c r="Q16" i="12" s="1"/>
  <c r="P79" i="12"/>
  <c r="O79" i="12"/>
  <c r="M79" i="12"/>
  <c r="K79" i="12"/>
  <c r="I79" i="12"/>
  <c r="G79" i="12"/>
  <c r="P123" i="11"/>
  <c r="Q123" i="11" s="1"/>
  <c r="O123" i="11"/>
  <c r="M123" i="11"/>
  <c r="K123" i="11"/>
  <c r="I123" i="11"/>
  <c r="G123" i="11"/>
  <c r="P68" i="12"/>
  <c r="O68" i="12"/>
  <c r="M68" i="12"/>
  <c r="K68" i="12"/>
  <c r="I68" i="12"/>
  <c r="G68" i="12"/>
  <c r="P111" i="11"/>
  <c r="Q111" i="11" s="1"/>
  <c r="T111" i="11" s="1"/>
  <c r="G111" i="11"/>
  <c r="I111" i="11"/>
  <c r="K111" i="11"/>
  <c r="M111" i="11"/>
  <c r="O111" i="11"/>
  <c r="Q10" i="12" l="1"/>
  <c r="R10" i="12" s="1"/>
  <c r="Q79" i="12"/>
  <c r="T79" i="12" s="1"/>
  <c r="Q68" i="12"/>
  <c r="S68" i="12" s="1"/>
  <c r="R14" i="13"/>
  <c r="R13" i="13"/>
  <c r="S10" i="13"/>
  <c r="R11" i="13"/>
  <c r="T15" i="13"/>
  <c r="S14" i="13"/>
  <c r="T13" i="13"/>
  <c r="T11" i="13"/>
  <c r="R10" i="13"/>
  <c r="Q27" i="12"/>
  <c r="T27" i="12" s="1"/>
  <c r="Q30" i="12"/>
  <c r="T30" i="12" s="1"/>
  <c r="Q24" i="12"/>
  <c r="T24" i="12" s="1"/>
  <c r="Q23" i="12"/>
  <c r="S23" i="12" s="1"/>
  <c r="Q18" i="12"/>
  <c r="T18" i="12" s="1"/>
  <c r="Q32" i="12"/>
  <c r="T32" i="12" s="1"/>
  <c r="Q31" i="12"/>
  <c r="T31" i="12" s="1"/>
  <c r="Q26" i="12"/>
  <c r="R26" i="12" s="1"/>
  <c r="Q25" i="12"/>
  <c r="T25" i="12" s="1"/>
  <c r="Q21" i="12"/>
  <c r="T21" i="12" s="1"/>
  <c r="R12" i="13"/>
  <c r="S12" i="13"/>
  <c r="S15" i="13"/>
  <c r="S35" i="13"/>
  <c r="R35" i="13"/>
  <c r="S11" i="12"/>
  <c r="R11" i="12"/>
  <c r="S28" i="12"/>
  <c r="T11" i="12"/>
  <c r="R22" i="12"/>
  <c r="S17" i="12"/>
  <c r="R17" i="12"/>
  <c r="T17" i="12"/>
  <c r="T19" i="12"/>
  <c r="S19" i="12"/>
  <c r="R19" i="12"/>
  <c r="S20" i="12"/>
  <c r="R20" i="12"/>
  <c r="T20" i="12"/>
  <c r="S22" i="12"/>
  <c r="R28" i="12"/>
  <c r="S29" i="12"/>
  <c r="T29" i="12"/>
  <c r="R29" i="12"/>
  <c r="R13" i="12"/>
  <c r="T10" i="12"/>
  <c r="S10" i="12"/>
  <c r="R12" i="12"/>
  <c r="S12" i="12"/>
  <c r="T12" i="12"/>
  <c r="T13" i="12"/>
  <c r="R14" i="12"/>
  <c r="S14" i="12"/>
  <c r="T14" i="12"/>
  <c r="T15" i="12"/>
  <c r="R15" i="12"/>
  <c r="S15" i="12"/>
  <c r="S16" i="12"/>
  <c r="T16" i="12"/>
  <c r="R16" i="12"/>
  <c r="S79" i="12"/>
  <c r="R79" i="12"/>
  <c r="R123" i="11"/>
  <c r="T123" i="11"/>
  <c r="S123" i="11"/>
  <c r="R111" i="11"/>
  <c r="S111" i="11"/>
  <c r="R68" i="12" l="1"/>
  <c r="T68" i="12"/>
  <c r="S27" i="12"/>
  <c r="R27" i="12"/>
  <c r="S32" i="12"/>
  <c r="S30" i="12"/>
  <c r="R30" i="12"/>
  <c r="S24" i="12"/>
  <c r="R24" i="12"/>
  <c r="R32" i="12"/>
  <c r="S31" i="12"/>
  <c r="R31" i="12"/>
  <c r="T23" i="12"/>
  <c r="R23" i="12"/>
  <c r="S21" i="12"/>
  <c r="R21" i="12"/>
  <c r="S18" i="12"/>
  <c r="T26" i="12"/>
  <c r="R18" i="12"/>
  <c r="S26" i="12"/>
  <c r="S25" i="12"/>
  <c r="R25" i="12"/>
  <c r="G22" i="11"/>
  <c r="G23" i="11"/>
  <c r="G24" i="11"/>
  <c r="G25" i="11"/>
  <c r="G26" i="11"/>
  <c r="G27" i="11"/>
  <c r="G28" i="11"/>
  <c r="G29" i="11"/>
  <c r="I22" i="11"/>
  <c r="I23" i="11"/>
  <c r="I24" i="11"/>
  <c r="I25" i="11"/>
  <c r="I26" i="11"/>
  <c r="I27" i="11"/>
  <c r="I28" i="11"/>
  <c r="I29" i="11"/>
  <c r="K22" i="11"/>
  <c r="K23" i="11"/>
  <c r="K24" i="11"/>
  <c r="K25" i="11"/>
  <c r="K26" i="11"/>
  <c r="K27" i="11"/>
  <c r="K28" i="11"/>
  <c r="K29" i="11"/>
  <c r="M22" i="11"/>
  <c r="M23" i="11"/>
  <c r="M24" i="11"/>
  <c r="M25" i="11"/>
  <c r="M26" i="11"/>
  <c r="M27" i="11"/>
  <c r="M28" i="11"/>
  <c r="M29" i="11"/>
  <c r="O22" i="11"/>
  <c r="O23" i="11"/>
  <c r="O24" i="11"/>
  <c r="O25" i="11"/>
  <c r="O26" i="11"/>
  <c r="O27" i="11"/>
  <c r="O28" i="11"/>
  <c r="O29" i="11"/>
  <c r="P22" i="11"/>
  <c r="Q22" i="11" s="1"/>
  <c r="P23" i="11"/>
  <c r="P24" i="11"/>
  <c r="Q24" i="11" s="1"/>
  <c r="R24" i="11" s="1"/>
  <c r="P25" i="11"/>
  <c r="Q25" i="11" s="1"/>
  <c r="R25" i="11" s="1"/>
  <c r="P26" i="11"/>
  <c r="Q26" i="11" s="1"/>
  <c r="S26" i="11" s="1"/>
  <c r="P27" i="11"/>
  <c r="Q27" i="11" s="1"/>
  <c r="R27" i="11" s="1"/>
  <c r="P28" i="11"/>
  <c r="Q28" i="11" s="1"/>
  <c r="R28" i="11" s="1"/>
  <c r="P29" i="11"/>
  <c r="Q29" i="11" s="1"/>
  <c r="R29" i="11" s="1"/>
  <c r="G18" i="11"/>
  <c r="G19" i="11"/>
  <c r="G20" i="11"/>
  <c r="G21" i="11"/>
  <c r="G30" i="11"/>
  <c r="G31" i="11"/>
  <c r="G32" i="11"/>
  <c r="G33" i="11"/>
  <c r="G34" i="11"/>
  <c r="I18" i="11"/>
  <c r="I19" i="11"/>
  <c r="I20" i="11"/>
  <c r="I21" i="11"/>
  <c r="I30" i="11"/>
  <c r="I31" i="11"/>
  <c r="I32" i="11"/>
  <c r="I33" i="11"/>
  <c r="I34" i="11"/>
  <c r="K18" i="11"/>
  <c r="K19" i="11"/>
  <c r="K20" i="11"/>
  <c r="K21" i="11"/>
  <c r="K30" i="11"/>
  <c r="K31" i="11"/>
  <c r="K32" i="11"/>
  <c r="K33" i="11"/>
  <c r="K34" i="11"/>
  <c r="M18" i="11"/>
  <c r="M19" i="11"/>
  <c r="M20" i="11"/>
  <c r="M21" i="11"/>
  <c r="M30" i="11"/>
  <c r="M31" i="11"/>
  <c r="M32" i="11"/>
  <c r="M33" i="11"/>
  <c r="M34" i="11"/>
  <c r="O18" i="11"/>
  <c r="O19" i="11"/>
  <c r="O20" i="11"/>
  <c r="O21" i="11"/>
  <c r="O30" i="11"/>
  <c r="O31" i="11"/>
  <c r="O32" i="11"/>
  <c r="O33" i="11"/>
  <c r="O34" i="11"/>
  <c r="P18" i="11"/>
  <c r="Q18" i="11" s="1"/>
  <c r="P19" i="11"/>
  <c r="P20" i="11"/>
  <c r="P21" i="11"/>
  <c r="P30" i="11"/>
  <c r="Q30" i="11" s="1"/>
  <c r="R30" i="11" s="1"/>
  <c r="P31" i="11"/>
  <c r="P32" i="11"/>
  <c r="Q32" i="11" s="1"/>
  <c r="S32" i="11" s="1"/>
  <c r="P33" i="11"/>
  <c r="Q33" i="11" s="1"/>
  <c r="R33" i="11" s="1"/>
  <c r="P34" i="11"/>
  <c r="G11" i="11"/>
  <c r="G12" i="11"/>
  <c r="G13" i="11"/>
  <c r="G14" i="11"/>
  <c r="G15" i="11"/>
  <c r="G16" i="11"/>
  <c r="G17" i="11"/>
  <c r="G35" i="11"/>
  <c r="G36" i="11"/>
  <c r="I11" i="11"/>
  <c r="I12" i="11"/>
  <c r="I13" i="11"/>
  <c r="I14" i="11"/>
  <c r="I15" i="11"/>
  <c r="I16" i="11"/>
  <c r="I17" i="11"/>
  <c r="I35" i="11"/>
  <c r="I36" i="11"/>
  <c r="K11" i="11"/>
  <c r="K12" i="11"/>
  <c r="K13" i="11"/>
  <c r="K14" i="11"/>
  <c r="K15" i="11"/>
  <c r="K16" i="11"/>
  <c r="K17" i="11"/>
  <c r="K35" i="11"/>
  <c r="K36" i="11"/>
  <c r="M11" i="11"/>
  <c r="M12" i="11"/>
  <c r="M13" i="11"/>
  <c r="M14" i="11"/>
  <c r="M15" i="11"/>
  <c r="M16" i="11"/>
  <c r="M17" i="11"/>
  <c r="M35" i="11"/>
  <c r="M36" i="11"/>
  <c r="O11" i="11"/>
  <c r="O12" i="11"/>
  <c r="O13" i="11"/>
  <c r="O14" i="11"/>
  <c r="O15" i="11"/>
  <c r="O16" i="11"/>
  <c r="O17" i="11"/>
  <c r="O35" i="11"/>
  <c r="O36" i="11"/>
  <c r="P11" i="11"/>
  <c r="Q11" i="11" s="1"/>
  <c r="P12" i="11"/>
  <c r="P13" i="11"/>
  <c r="Q13" i="11" s="1"/>
  <c r="T13" i="11" s="1"/>
  <c r="P14" i="11"/>
  <c r="P15" i="11"/>
  <c r="P16" i="11"/>
  <c r="P17" i="11"/>
  <c r="Q17" i="11" s="1"/>
  <c r="R17" i="11" s="1"/>
  <c r="P35" i="11"/>
  <c r="P36" i="11"/>
  <c r="P110" i="11"/>
  <c r="Q110" i="11" s="1"/>
  <c r="O110" i="11"/>
  <c r="M110" i="11"/>
  <c r="K110" i="11"/>
  <c r="I110" i="11"/>
  <c r="G110" i="11"/>
  <c r="P37" i="11"/>
  <c r="O37" i="11"/>
  <c r="M37" i="11"/>
  <c r="K37" i="11"/>
  <c r="I37" i="11"/>
  <c r="G37" i="11"/>
  <c r="P10" i="11"/>
  <c r="Q10" i="11" s="1"/>
  <c r="O10" i="11"/>
  <c r="M10" i="11"/>
  <c r="G10" i="11"/>
  <c r="Q12" i="11" l="1"/>
  <c r="T12" i="11" s="1"/>
  <c r="Q21" i="11"/>
  <c r="R21" i="11" s="1"/>
  <c r="Q37" i="11"/>
  <c r="T37" i="11" s="1"/>
  <c r="Q31" i="11"/>
  <c r="S31" i="11" s="1"/>
  <c r="Q20" i="11"/>
  <c r="R20" i="11" s="1"/>
  <c r="Q16" i="11"/>
  <c r="S16" i="11" s="1"/>
  <c r="Q23" i="11"/>
  <c r="R23" i="11" s="1"/>
  <c r="Q35" i="11"/>
  <c r="R35" i="11" s="1"/>
  <c r="Q14" i="11"/>
  <c r="R14" i="11" s="1"/>
  <c r="Q19" i="11"/>
  <c r="T19" i="11" s="1"/>
  <c r="Q36" i="11"/>
  <c r="T36" i="11" s="1"/>
  <c r="Q34" i="11"/>
  <c r="T34" i="11" s="1"/>
  <c r="Q15" i="11"/>
  <c r="T15" i="11" s="1"/>
  <c r="T110" i="11"/>
  <c r="S18" i="11"/>
  <c r="R18" i="11"/>
  <c r="T18" i="11"/>
  <c r="R22" i="11"/>
  <c r="S22" i="11"/>
  <c r="T22" i="11"/>
  <c r="S33" i="11"/>
  <c r="R32" i="11"/>
  <c r="T32" i="11"/>
  <c r="S29" i="11"/>
  <c r="T29" i="11"/>
  <c r="S28" i="11"/>
  <c r="T28" i="11"/>
  <c r="T27" i="11"/>
  <c r="S27" i="11"/>
  <c r="R26" i="11"/>
  <c r="T26" i="11"/>
  <c r="S25" i="11"/>
  <c r="T25" i="11"/>
  <c r="S24" i="11"/>
  <c r="T24" i="11"/>
  <c r="S21" i="11"/>
  <c r="T17" i="11"/>
  <c r="S30" i="11"/>
  <c r="T30" i="11"/>
  <c r="S13" i="11"/>
  <c r="S17" i="11"/>
  <c r="R13" i="11"/>
  <c r="T33" i="11"/>
  <c r="T21" i="11"/>
  <c r="S11" i="11"/>
  <c r="R11" i="11"/>
  <c r="T11" i="11"/>
  <c r="R12" i="11"/>
  <c r="S12" i="11"/>
  <c r="R10" i="11"/>
  <c r="S10" i="11"/>
  <c r="T10" i="11"/>
  <c r="R110" i="11"/>
  <c r="S110" i="11"/>
  <c r="P71" i="10"/>
  <c r="Q71" i="10" s="1"/>
  <c r="T71" i="10" s="1"/>
  <c r="O71" i="10"/>
  <c r="M71" i="10"/>
  <c r="K71" i="10"/>
  <c r="I71" i="10"/>
  <c r="G71" i="10"/>
  <c r="P61" i="10"/>
  <c r="Q61" i="10" s="1"/>
  <c r="O61" i="10"/>
  <c r="M61" i="10"/>
  <c r="K61" i="10"/>
  <c r="I61" i="10"/>
  <c r="G61" i="10"/>
  <c r="P51" i="10"/>
  <c r="O51" i="10"/>
  <c r="M51" i="10"/>
  <c r="K51" i="10"/>
  <c r="I51" i="10"/>
  <c r="G51" i="10"/>
  <c r="Q51" i="10" l="1"/>
  <c r="R51" i="10" s="1"/>
  <c r="T23" i="11"/>
  <c r="R37" i="11"/>
  <c r="S37" i="11"/>
  <c r="R31" i="11"/>
  <c r="T31" i="11"/>
  <c r="T16" i="11"/>
  <c r="R16" i="11"/>
  <c r="S23" i="11"/>
  <c r="S19" i="11"/>
  <c r="S20" i="11"/>
  <c r="T20" i="11"/>
  <c r="T35" i="11"/>
  <c r="S14" i="11"/>
  <c r="S35" i="11"/>
  <c r="T14" i="11"/>
  <c r="R19" i="11"/>
  <c r="R36" i="11"/>
  <c r="S34" i="11"/>
  <c r="R15" i="11"/>
  <c r="S36" i="11"/>
  <c r="R34" i="11"/>
  <c r="S15" i="11"/>
  <c r="R71" i="10"/>
  <c r="S71" i="10"/>
  <c r="T61" i="10"/>
  <c r="R61" i="10"/>
  <c r="S61" i="10"/>
  <c r="P18" i="10"/>
  <c r="O18" i="10"/>
  <c r="M18" i="10"/>
  <c r="P17" i="10"/>
  <c r="O17" i="10"/>
  <c r="M17" i="10"/>
  <c r="P16" i="10"/>
  <c r="O16" i="10"/>
  <c r="M16" i="10"/>
  <c r="P15" i="10"/>
  <c r="O15" i="10"/>
  <c r="M15" i="10"/>
  <c r="P14" i="10"/>
  <c r="O14" i="10"/>
  <c r="M14" i="10"/>
  <c r="P13" i="10"/>
  <c r="O13" i="10"/>
  <c r="M13" i="10"/>
  <c r="P12" i="10"/>
  <c r="O12" i="10"/>
  <c r="M12" i="10"/>
  <c r="P11" i="10"/>
  <c r="O11" i="10"/>
  <c r="M11" i="10"/>
  <c r="P10" i="10"/>
  <c r="O10" i="10"/>
  <c r="M10" i="10"/>
  <c r="S51" i="10" l="1"/>
  <c r="T51" i="10"/>
  <c r="Q10" i="10"/>
  <c r="R10" i="10" s="1"/>
  <c r="Q16" i="10"/>
  <c r="T16" i="10" s="1"/>
  <c r="Q12" i="10"/>
  <c r="T12" i="10" s="1"/>
  <c r="Q14" i="10"/>
  <c r="R14" i="10" s="1"/>
  <c r="Q18" i="10"/>
  <c r="R18" i="10" s="1"/>
  <c r="Q13" i="10"/>
  <c r="R13" i="10" s="1"/>
  <c r="Q17" i="10"/>
  <c r="T17" i="10" s="1"/>
  <c r="Q11" i="10"/>
  <c r="R11" i="10" s="1"/>
  <c r="Q15" i="10"/>
  <c r="R15" i="10" s="1"/>
  <c r="R17" i="10" l="1"/>
  <c r="S17" i="10"/>
  <c r="S16" i="10"/>
  <c r="T15" i="10"/>
  <c r="T14" i="10"/>
  <c r="S14" i="10"/>
  <c r="S13" i="10"/>
  <c r="S12" i="10"/>
  <c r="R12" i="10"/>
  <c r="T10" i="10"/>
  <c r="S10" i="10"/>
  <c r="S18" i="10"/>
  <c r="R16" i="10"/>
  <c r="T18" i="10"/>
  <c r="S11" i="10"/>
  <c r="T13" i="10"/>
  <c r="S15" i="10"/>
  <c r="T11" i="10"/>
</calcChain>
</file>

<file path=xl/sharedStrings.xml><?xml version="1.0" encoding="utf-8"?>
<sst xmlns="http://schemas.openxmlformats.org/spreadsheetml/2006/main" count="2333" uniqueCount="578">
  <si>
    <t>DESCRIÇÃO</t>
  </si>
  <si>
    <t>ITEM</t>
  </si>
  <si>
    <t>UND</t>
  </si>
  <si>
    <t>QNT</t>
  </si>
  <si>
    <t>UN</t>
  </si>
  <si>
    <t>FORNECEDOR</t>
  </si>
  <si>
    <t>FORNECEDOR 01</t>
  </si>
  <si>
    <t>RAZÃO SOCIAL</t>
  </si>
  <si>
    <t>CNPJ</t>
  </si>
  <si>
    <t>CONTATO</t>
  </si>
  <si>
    <t>AESA COMÉRCIO DE TUBOS E CONEXÕES EIRELI</t>
  </si>
  <si>
    <t>34.558.680/0001-85</t>
  </si>
  <si>
    <t>PAULO ALBERTO</t>
  </si>
  <si>
    <t>CÓD.</t>
  </si>
  <si>
    <t>DATA DA COTAÇÃO</t>
  </si>
  <si>
    <t>P. UNT</t>
  </si>
  <si>
    <t>P. TOTAL</t>
  </si>
  <si>
    <t>FORNECEDORES</t>
  </si>
  <si>
    <t>FORNECEDOR 02</t>
  </si>
  <si>
    <t>FORNECEDOR 03</t>
  </si>
  <si>
    <t>FORNECEDOR 04</t>
  </si>
  <si>
    <t>FORNECEDOR 05</t>
  </si>
  <si>
    <t>RESUMO DE FORNECEDORES</t>
  </si>
  <si>
    <t>DADOS DE ENTRADA</t>
  </si>
  <si>
    <t>P. MEDIANA</t>
  </si>
  <si>
    <t>DADOS DE SAÍDA</t>
  </si>
  <si>
    <t>SELEÇÃO DE FORNECEDORES</t>
  </si>
  <si>
    <t>DADOS BASE</t>
  </si>
  <si>
    <t>IND. E COM. DE MOTOBOMBAS FLUTUANTES RIO DO SUL LTDA</t>
  </si>
  <si>
    <t>86.999.364/0001-42</t>
  </si>
  <si>
    <t>JOSUÉ ALVES</t>
  </si>
  <si>
    <t>MARCON ENGENHARIA E CONSTRUÇÕES LTDA</t>
  </si>
  <si>
    <t>HERMUT RODRIGUES</t>
  </si>
  <si>
    <t>OMEL BOMBAS E COMPRESSORES LTDA</t>
  </si>
  <si>
    <t>67.693.440/0001-42</t>
  </si>
  <si>
    <t>JEFFERSON JOAQUIM</t>
  </si>
  <si>
    <t>NAQUA SOLUÇÕES EM ÁGUAS</t>
  </si>
  <si>
    <t>LUDOVICO PASCHOALIN</t>
  </si>
  <si>
    <t>MONTENEGRO</t>
  </si>
  <si>
    <t>32.719.150/0001-46</t>
  </si>
  <si>
    <t>SAMIA ABRANCHES</t>
  </si>
  <si>
    <t>FANCISCO DIAS</t>
  </si>
  <si>
    <t>CONJUNTO MOTOBOMBA CENTRÍFUGA, VAZÃO 300L/S, HM30M, EFICIÊNCIA ACIMA DE 80%</t>
  </si>
  <si>
    <t>ACF REPRESENTAÇÕES LTDA</t>
  </si>
  <si>
    <t>ANTONIO FERREIRA</t>
  </si>
  <si>
    <t>M</t>
  </si>
  <si>
    <t>TECNESANI CONSTRUÇÃO CIVIL LTDA - ME</t>
  </si>
  <si>
    <t>10.779.152/0001-98</t>
  </si>
  <si>
    <t>BENEDITO LEITE</t>
  </si>
  <si>
    <t>SAINT-GOBAIN CANALIZAÇÃO LTDA</t>
  </si>
  <si>
    <t xml:space="preserve"> 28.672.087/0001-62</t>
  </si>
  <si>
    <t>MARCOS MENDES</t>
  </si>
  <si>
    <t>OBRA:</t>
  </si>
  <si>
    <t>INSUMOS:</t>
  </si>
  <si>
    <t>ETA PARI</t>
  </si>
  <si>
    <t>MAPA DE COTAÇÃO -  TUBOS E CONEXÕES FOFO PARA BARRILETE</t>
  </si>
  <si>
    <t>MAPA DE COTAÇÃO -  BOMBA</t>
  </si>
  <si>
    <t>MAPA DE COTAÇÃO -  BALSA PARA CAPTAÇÃO</t>
  </si>
  <si>
    <t>FORNECIMENTO E MONTAGEM DE BALSA PARA CAPTAÇÃO DE ÁGUA BRUTA</t>
  </si>
  <si>
    <t>Coluna1</t>
  </si>
  <si>
    <t>Coluna2</t>
  </si>
  <si>
    <t>Coluna3</t>
  </si>
  <si>
    <t>Coluna4</t>
  </si>
  <si>
    <t>Coluna5</t>
  </si>
  <si>
    <t>Coluna6</t>
  </si>
  <si>
    <t>Coluna7</t>
  </si>
  <si>
    <t>Coluna8</t>
  </si>
  <si>
    <t>Coluna9</t>
  </si>
  <si>
    <t>Coluna10</t>
  </si>
  <si>
    <t>Coluna11</t>
  </si>
  <si>
    <t>Coluna12</t>
  </si>
  <si>
    <t>Coluna13</t>
  </si>
  <si>
    <t>Coluna14</t>
  </si>
  <si>
    <t>Coluna15</t>
  </si>
  <si>
    <t>Coluna16</t>
  </si>
  <si>
    <t>Coluna17</t>
  </si>
  <si>
    <t>Coluna18</t>
  </si>
  <si>
    <t>Coluna19</t>
  </si>
  <si>
    <t>Coluna20</t>
  </si>
  <si>
    <t xml:space="preserve"> INS000095 </t>
  </si>
  <si>
    <t xml:space="preserve"> INS000092 </t>
  </si>
  <si>
    <t>MAPA DE COTAÇÃO -  ADUTORA CAPTAÇÃO DE ÁGUA BRUTA</t>
  </si>
  <si>
    <t xml:space="preserve"> INS00348 </t>
  </si>
  <si>
    <t>TUBO DEFOFO, ADUÇÃO, DN 350MM</t>
  </si>
  <si>
    <t>TELEFONE</t>
  </si>
  <si>
    <t>(19) 98130-5559</t>
  </si>
  <si>
    <t>Reservatório de Água Potável da ETA</t>
  </si>
  <si>
    <t xml:space="preserve"> INS00321 </t>
  </si>
  <si>
    <t xml:space="preserve"> INS00322 </t>
  </si>
  <si>
    <t>CONJUNTO MOTOBOMBA CENTRÍFUGA, VAZÃO 300L/S, HM60M, EFICIÊNCIA ACIMA DE 80%</t>
  </si>
  <si>
    <t>Barrilete Captação de Água Bruta</t>
  </si>
  <si>
    <t>MAPA DE COTAÇÃO -  RESERVATÓRIO DE ÁGUA POTÁVEL</t>
  </si>
  <si>
    <t>FORNECIMENTO E MONTAGEM DE RAP 2000M3, COM DIÂMETRO INTERNO DE 21M, ALTURA DO COSTADO 7,50M, CONTENDO 01 ESCOTILHA DE ACESSO PELO COSTADO 80CM, 01 ESCOTILHA DE ACESSO PELO TETO 60CM, ESCADA MARINHEIRO INTERNA E EXTERNA COM GUARDA CORPO E PINTURA DE ACABAMENTO</t>
  </si>
  <si>
    <t xml:space="preserve"> INS00271 </t>
  </si>
  <si>
    <t>FORNECIMENTO E MONTAGEM DE RAP 2500M3, COM DIÂMETRO INTERNO DE 21M, ALTURA DO COSTADO 7,50M, CONTENDO 01 ESCOTILHA DE ACESSO PELO COSTADO 80CM, 01 ESCOTILHA DE ACESSO PELO TETO 60CM, ESCADA MARINHEIRO INTERNA E EXTERNA COM GUARDA CORPO E PINTURA DE ACABAMENTO</t>
  </si>
  <si>
    <t xml:space="preserve"> INS00434 </t>
  </si>
  <si>
    <t>Reservatório de Água Potável Florais</t>
  </si>
  <si>
    <t>JV TUBOS E ACABAMENTOS EIRELI</t>
  </si>
  <si>
    <t>21.391.561/0002-10</t>
  </si>
  <si>
    <t>67 3348-1881</t>
  </si>
  <si>
    <t>ALINE</t>
  </si>
  <si>
    <t>MARCIO SOUZA FARIA EIRELI</t>
  </si>
  <si>
    <t>20.151.547/0001-03</t>
  </si>
  <si>
    <t>MARCIO SOUZA</t>
  </si>
  <si>
    <t>KSB: BOMBAS, VÁLVULAS E SERVIÇO</t>
  </si>
  <si>
    <t>60.680.873/0001-14</t>
  </si>
  <si>
    <t>11 4596-8500</t>
  </si>
  <si>
    <t>MAPA DE COTAÇÃO -  QGBT</t>
  </si>
  <si>
    <t>FORNECIMENTO E MONTAGEM DE QUADRO DE DISTRIBUIÇÃO EM BAIXA TENSÃO, PARA CAPTAÇÃO ETA, CONFORME PROJETO EXECUTIVO</t>
  </si>
  <si>
    <t>INS00453</t>
  </si>
  <si>
    <t>SELCO ENGENHARIA LTDA</t>
  </si>
  <si>
    <t>01.303.940/0001-12</t>
  </si>
  <si>
    <t>GLADSON</t>
  </si>
  <si>
    <t>65 3027-9011</t>
  </si>
  <si>
    <t>MAPA DE COTAÇÃO -  CCM</t>
  </si>
  <si>
    <t>NORD ELETRIC</t>
  </si>
  <si>
    <t>85.343.580/0001-72</t>
  </si>
  <si>
    <t>JONATAN</t>
  </si>
  <si>
    <t>49 3361-3900</t>
  </si>
  <si>
    <t>PAINEL CCM INVERSOR DE FREQ 150CV</t>
  </si>
  <si>
    <t>Estação de Tratamento de Água - ETA</t>
  </si>
  <si>
    <t>INS000096</t>
  </si>
  <si>
    <t>MAPA DE COTAÇÃO -  ESTAÇÃO DE TRATAMENTO</t>
  </si>
  <si>
    <t>INS00336</t>
  </si>
  <si>
    <t>MÓDULOS DE DECANTAÇÃO, FORMATADOS A PARTIR DE PLACAS PLANAS PARALELAS, COM ESPAÇAMENTO E ATIRAMENTO POR PERFIS TUBULARES RETANGULARES OCTOGONAIS, DIMENSÕES NOMINAIS, 50X1200MM, ESPESSURA DE 1,00 A 1,50 MM, INCLUSIVE CREPINA PEQUENA COM REFORÇO</t>
  </si>
  <si>
    <t>12 97410-1873</t>
  </si>
  <si>
    <t>MAPA DE COTAÇÃO -  FORNECIMENTO MÓDULO DE DECANTAÇÃO</t>
  </si>
  <si>
    <t>MAPA DE COTAÇÃO -  INSTALAÇÃO DE MONTAGEM MÓDULO DE DECANTAÇÃO</t>
  </si>
  <si>
    <t>MONTAGEM DE MÓDULOS DE DECANTAÇÃO</t>
  </si>
  <si>
    <t>INS00454</t>
  </si>
  <si>
    <t>MAPA DE COTAÇÃO -  FORNECIMENTO FLOCULADORES</t>
  </si>
  <si>
    <t>FLOCULADOR MECÂNICO DO TIPO TURBINA DE FLUXO AXIAL, MARCA NAQUA, MODELO FMAX OU EQUIVALENTE</t>
  </si>
  <si>
    <t>INS00337</t>
  </si>
  <si>
    <t>MONTAGEM DE FLOCULADORES</t>
  </si>
  <si>
    <t>INS00455</t>
  </si>
  <si>
    <t>FLOCULADOR MECÂNICO DO TIPO PALETAS VERTICAIS DE NOSSA FABRICAÇÃO, MARCA NAQUA, MODELO FMPA OU EQUIVALENTE</t>
  </si>
  <si>
    <t>INS00338</t>
  </si>
  <si>
    <t>MEDIDOR DE VAZÃO, TIPO CALHA PARSHALL, MARCA NAQUA, MODELO CPMV OU EQUIVALENTE</t>
  </si>
  <si>
    <t>HIDROMETER</t>
  </si>
  <si>
    <t>06.861.118/0001-90</t>
  </si>
  <si>
    <t>11 3674-1773</t>
  </si>
  <si>
    <t>JAQUELINE</t>
  </si>
  <si>
    <t>INS00339</t>
  </si>
  <si>
    <t>MAPA DE COTAÇÃO - SOPRADOR DE AR</t>
  </si>
  <si>
    <t>SOPRADOR DE AR TIPO ROOTS, REF. OMEL SRTV-1027 OU EQUIVALENTE</t>
  </si>
  <si>
    <t>INS00340</t>
  </si>
  <si>
    <t>BOMBA DOSADORA, VAZÃO 1.300L/H, P=10 KGF/CM2, REF. OMEL NSP-3/P OU EQUIVALENTE</t>
  </si>
  <si>
    <t>INS00341</t>
  </si>
  <si>
    <t>PROMINENT BRASIL LTDA</t>
  </si>
  <si>
    <t>38.875.381/0001-25</t>
  </si>
  <si>
    <t>11 3192-2932</t>
  </si>
  <si>
    <t>BEATRIZ</t>
  </si>
  <si>
    <t>MAPA DE COTAÇÃO - BOMBA DOSADORA</t>
  </si>
  <si>
    <t>FORNECIMENTO E MONTAGEM DE 03 DECANTADORES EM ESTRUTURA METÁLICA, CONFORME PROJETO EXECUTIVO</t>
  </si>
  <si>
    <t>INS00342</t>
  </si>
  <si>
    <t>FORNECIMENTO E MONTAGEM DE 04 FILTROS EM ESTRUTURA METÁLICA, CONFORME PROJETO EXECUTIVO</t>
  </si>
  <si>
    <t>INS00343</t>
  </si>
  <si>
    <t>FORNECIMENTO E MONTAGEM DE 02 CAIXAS DE ÁGUA FILTRADA, CÂMARAS DE NÍVEIS EM ESTRUTURA METÁLICA, CONFORME PROJETO EXECUTIVO</t>
  </si>
  <si>
    <t>INS00344</t>
  </si>
  <si>
    <t>FORNECIMENTO E MONTAGEM DE 02 FLOCULADORES EM ESTRUTURA METÁLICA, CONFORME PROJETO EXECUTIVO</t>
  </si>
  <si>
    <t>INS00345</t>
  </si>
  <si>
    <t>FORNECIMENTO E MONTAGEM DE CONEXÕES FLANGEADAS DE INTERLIGAÇÕES, DESCARGAS, SAÍDAS PARA RAMAL ENTERRADO E SOPRADOR, CONFORME PROJETO EXECUTIVO</t>
  </si>
  <si>
    <t>INS00346</t>
  </si>
  <si>
    <t>FORNECIMENTO E MONTAGEM DE ESTRUTURA DE ACESSO E MANUTENÇÃO À ETA, CONTENDO 01 ESCADA E PASSARELAS SOBRE OS TANQUES, CONFORME PROJETO EXECUTIVO</t>
  </si>
  <si>
    <t>INS00347</t>
  </si>
  <si>
    <t>MAPA DE COTAÇÃO - QGBT E CCM</t>
  </si>
  <si>
    <t>FORNECIMENTO E MONTAGEM DE QUADRO DE DISTRIBUIÇÃO EM BAIXA TENSÃO, PARA ETA, CONFORME PROJETO EXECUTIVO</t>
  </si>
  <si>
    <t>INS00456</t>
  </si>
  <si>
    <t>PAINEL CCM 1 INVERSOR DE FREQ 150CV - ETA</t>
  </si>
  <si>
    <t>INS00461</t>
  </si>
  <si>
    <t>PAINEL CCM 2 INVERSOR DE FREQ 150CV - ETA</t>
  </si>
  <si>
    <t>INS00462</t>
  </si>
  <si>
    <t>PAINEL CCM ETA INVERSOR DE FREQ - ETA</t>
  </si>
  <si>
    <t>INS00463</t>
  </si>
  <si>
    <t>03.724.137/0001-87</t>
  </si>
  <si>
    <t>27.673.578/0001-65</t>
  </si>
  <si>
    <t>03.307.088/0001-87</t>
  </si>
  <si>
    <t>65 3667-3001</t>
  </si>
  <si>
    <t>11 2413-5400</t>
  </si>
  <si>
    <t>11 2311-6790</t>
  </si>
  <si>
    <t>VALVULA DE PÉ COM CRIVO  Ø 400MM</t>
  </si>
  <si>
    <t>TUBO COM FLANGES Ø 400MM - 1,50M</t>
  </si>
  <si>
    <t>CURVA 90º COM FLANGE Ø400MM</t>
  </si>
  <si>
    <t>REDUÇÃO COM FLANGE EXCENTRICA Ø 400 X Ø 250MM</t>
  </si>
  <si>
    <t>REDUÇÃO COM FLANGE CONCENTRICA Ø 350 X Ø 200MM</t>
  </si>
  <si>
    <t>TUBO COM FLANGES Ø 350MM - 0,20M</t>
  </si>
  <si>
    <t>JUNTA  DESMONTAGEM  TRAVADA AXIALMENTE Ø300MM</t>
  </si>
  <si>
    <t>VALVULA BORBOLETA FLANGE  VOLANTE NA POSIÇÃO 01  Ø350MM</t>
  </si>
  <si>
    <t>CURVA 90º COM FLANGE Ø350MM</t>
  </si>
  <si>
    <t>TE COM FLANGES Ø 350MM</t>
  </si>
  <si>
    <t>TUBO COM FLANGES Ø 350MM - 3,76M</t>
  </si>
  <si>
    <t>VALVULA RETENÇÃ PORTINHOLA Ø350MM</t>
  </si>
  <si>
    <t>EXTREMIDADE FLANGE PONTA  Ø350MM</t>
  </si>
  <si>
    <t>ARRUELAS Ø400MM   ABF</t>
  </si>
  <si>
    <t>ARRUELAS Ø350MM ABF</t>
  </si>
  <si>
    <t>ARRUELAS Ø250MM ABF</t>
  </si>
  <si>
    <t>ARRUELAS Ø200MM ABF</t>
  </si>
  <si>
    <t xml:space="preserve">PARAFUSOS   PN 10     Ø400MM  D X L = 24 X 110 MM </t>
  </si>
  <si>
    <t xml:space="preserve">PARAFUSOS   PN 10    Ø350MM   D X L = 20 X 100 MM </t>
  </si>
  <si>
    <t xml:space="preserve">PARAFUSOS   PN 10    Ø250MM  D X L = 20 X 90 MM </t>
  </si>
  <si>
    <t xml:space="preserve">PARAFUSOS  PN 10    Ø200MM    D X L = 20 X 90 MM </t>
  </si>
  <si>
    <t>TIRANTE PARA VALVULA RETENÇÃO PORTINHOLA DUPLA  D X L = 3/4 X 280MM  (Ø 350)</t>
  </si>
  <si>
    <t>ANGOLINI &amp; ANGOLINI LTDA</t>
  </si>
  <si>
    <t>44.829.653/0001-53</t>
  </si>
  <si>
    <t>62 3575-5544</t>
  </si>
  <si>
    <t>ANTÔNIO CANDIDO</t>
  </si>
  <si>
    <t>V E GOMES ARAUJO EIRELI (MT SANEAMENTO)</t>
  </si>
  <si>
    <t>20.775.930/0001-24</t>
  </si>
  <si>
    <t>65 3634-3194</t>
  </si>
  <si>
    <t>VICTOR ARAUJO</t>
  </si>
  <si>
    <t>DTS SANEAMENTO VÁLVULAS E CONEXÕES LTDA</t>
  </si>
  <si>
    <t>30.194.330/0001-26</t>
  </si>
  <si>
    <t>19 3269-6470</t>
  </si>
  <si>
    <t>GILVAN MARTINS</t>
  </si>
  <si>
    <t>INS00493</t>
  </si>
  <si>
    <t>INS00494</t>
  </si>
  <si>
    <t>INS00495</t>
  </si>
  <si>
    <t>INS00496</t>
  </si>
  <si>
    <t>INS00497</t>
  </si>
  <si>
    <t>INS00498</t>
  </si>
  <si>
    <t>INS00499</t>
  </si>
  <si>
    <t>INS00500</t>
  </si>
  <si>
    <t>INS00501</t>
  </si>
  <si>
    <t>INS00502</t>
  </si>
  <si>
    <t>INS00503</t>
  </si>
  <si>
    <t>INS00504</t>
  </si>
  <si>
    <t>INS00505</t>
  </si>
  <si>
    <t>INS00506</t>
  </si>
  <si>
    <t>INS00507</t>
  </si>
  <si>
    <t>INS00508</t>
  </si>
  <si>
    <t>INS00509</t>
  </si>
  <si>
    <t>INS00510</t>
  </si>
  <si>
    <t>INS00511</t>
  </si>
  <si>
    <t>INS00512</t>
  </si>
  <si>
    <t>INS00513</t>
  </si>
  <si>
    <t>INS00514</t>
  </si>
  <si>
    <t>INS00515</t>
  </si>
  <si>
    <t>CORR PLASTIK INDUSTRIAL LTDA</t>
  </si>
  <si>
    <t>67.731.091/0001-06</t>
  </si>
  <si>
    <t>11 4529-1500</t>
  </si>
  <si>
    <t>MARIENDRA</t>
  </si>
  <si>
    <t>MAPA DE COTAÇÃO -  TUBOS E CONEXÕES FOFO PARA RETROLAVAGEM FILTRO</t>
  </si>
  <si>
    <t>TUBO COM FLANGES Ø 600MM - 1,00M</t>
  </si>
  <si>
    <t>TE REDUÇÃO COM FLANGES Ø 600 X 400MM</t>
  </si>
  <si>
    <t>FLANGE CEGO Ø 600MM</t>
  </si>
  <si>
    <t>TOCO COM FLANGES  Ø 400MM - 0,25</t>
  </si>
  <si>
    <t>VALCULA DE GAVETA FLANGE VOLANTE CUNHA REVESTIDA DE BORRACHA  Ø 400</t>
  </si>
  <si>
    <t>JUNTA  DESMONTAGEM  TRAVADA AXIALMENTE Ø400MM</t>
  </si>
  <si>
    <t>TUBO COM FLANGES PONTA Ø 400MM - 0,45M</t>
  </si>
  <si>
    <t>TE COM FLANGES Ø 400MM</t>
  </si>
  <si>
    <t>TOCO COM FLANGES  Ø 400MM - 0,50M</t>
  </si>
  <si>
    <t>VALVULA BORBOLETA FLANGE  VOLANTE NA POSIÇÃO 01  Ø400MM</t>
  </si>
  <si>
    <t>REDUÇÃO COM FLANGE CONCENTRICA Ø 400 X Ø 250MM</t>
  </si>
  <si>
    <t>TUBO COM FLANGES  Ø 400MM - 0,21M</t>
  </si>
  <si>
    <t>TUBO COM FLANGES PONTA Ø 400MM - 3,5M</t>
  </si>
  <si>
    <t>CURVA 90º COM BOLSA Ø400MM</t>
  </si>
  <si>
    <t>CURVA 45º COM BOLSAS Ø 400MM</t>
  </si>
  <si>
    <t>TE COM BOLSA Ø 400MM</t>
  </si>
  <si>
    <t>TUBO COM FLANGES PONTA Ø 400MM - 0,734M</t>
  </si>
  <si>
    <t>TUBO COM FLANGES  Ø 400MM - 0,81</t>
  </si>
  <si>
    <t>ARRUELAS Ø600MM   ABF</t>
  </si>
  <si>
    <t>ARRUELAS Ø400MM ABF</t>
  </si>
  <si>
    <t xml:space="preserve">PARAFUSOS  D X L = 27 X 120 MM </t>
  </si>
  <si>
    <t xml:space="preserve">PARAFUSOS  D X L = 24 X 110 MM </t>
  </si>
  <si>
    <t xml:space="preserve">PARAFUSOS  D X L = 20 X 90 MM </t>
  </si>
  <si>
    <t>INS00525</t>
  </si>
  <si>
    <t>INS00535</t>
  </si>
  <si>
    <t>INS00545</t>
  </si>
  <si>
    <t>INS00555</t>
  </si>
  <si>
    <t>INS00565</t>
  </si>
  <si>
    <t>INS00516</t>
  </si>
  <si>
    <t>INS00517</t>
  </si>
  <si>
    <t>INS00519</t>
  </si>
  <si>
    <t>INS00520</t>
  </si>
  <si>
    <t>INS00521</t>
  </si>
  <si>
    <t>INS00523</t>
  </si>
  <si>
    <t>INS00524</t>
  </si>
  <si>
    <t>INS00526</t>
  </si>
  <si>
    <t>INS00527</t>
  </si>
  <si>
    <t>INS00528</t>
  </si>
  <si>
    <t>INS00529</t>
  </si>
  <si>
    <t>INS00530</t>
  </si>
  <si>
    <t>INS00531</t>
  </si>
  <si>
    <t>INS00532</t>
  </si>
  <si>
    <t>INS00533</t>
  </si>
  <si>
    <t>INS00536</t>
  </si>
  <si>
    <t>INS00537</t>
  </si>
  <si>
    <t>INS00538</t>
  </si>
  <si>
    <t>INS00539</t>
  </si>
  <si>
    <t>INS00540</t>
  </si>
  <si>
    <t>INS00541</t>
  </si>
  <si>
    <t>INS00542</t>
  </si>
  <si>
    <t>INS00543</t>
  </si>
  <si>
    <t>TUBO COM FLANGES PONTA Ø 600MM - 1,30M</t>
  </si>
  <si>
    <t>CURVA 90º COM FLANGE Ø600MM</t>
  </si>
  <si>
    <t>TUBO COM FLANGES Ø 600MM - 0,22M</t>
  </si>
  <si>
    <t>TUBO COM FLANGES  Ø 600MM - 1,00M</t>
  </si>
  <si>
    <t>REGISTRO CHATO CUNHA METALICA FLANGE VOLANTE S/BY-PASS E S/REDUTOR Ø 600MM</t>
  </si>
  <si>
    <t>TE COM FLANGES Ø 600MM</t>
  </si>
  <si>
    <t>TUBO COM FLANGES Ø 600MM - 2,0M</t>
  </si>
  <si>
    <t xml:space="preserve">FLANGE CEGO Ø 600MM </t>
  </si>
  <si>
    <t>TOCO COM FLANGES  Ø 400MM  0,50M</t>
  </si>
  <si>
    <t>TUBO COM FLANGES Ø 400MM - 0,81M</t>
  </si>
  <si>
    <t>TOCO COM FLANGES  Ø 400MM  0,25M</t>
  </si>
  <si>
    <t>VALVULA RETENÇÃO PORTINHOLA ÚNICA SIMPLES Ø400MM</t>
  </si>
  <si>
    <t>TUBO COM FLANGES Ø 400MM - 0,21M</t>
  </si>
  <si>
    <t>TUBO COM FLANGES E PONTA Ø 400MM - 0,41M</t>
  </si>
  <si>
    <t>INS00546</t>
  </si>
  <si>
    <t>INS00547</t>
  </si>
  <si>
    <t>INS00548</t>
  </si>
  <si>
    <t>INS00549</t>
  </si>
  <si>
    <t>INS00550</t>
  </si>
  <si>
    <t>INS00551</t>
  </si>
  <si>
    <t>INS00552</t>
  </si>
  <si>
    <t>INS00553</t>
  </si>
  <si>
    <t>INS00554</t>
  </si>
  <si>
    <t>INS00556</t>
  </si>
  <si>
    <t>INS00557</t>
  </si>
  <si>
    <t>INS00558</t>
  </si>
  <si>
    <t>INS00559</t>
  </si>
  <si>
    <t>INS00560</t>
  </si>
  <si>
    <t>INS00561</t>
  </si>
  <si>
    <t>INS00562</t>
  </si>
  <si>
    <t>INS00563</t>
  </si>
  <si>
    <t>INS00564</t>
  </si>
  <si>
    <t>INS00566</t>
  </si>
  <si>
    <t>INS00567</t>
  </si>
  <si>
    <t>INS00568</t>
  </si>
  <si>
    <t>INS00569</t>
  </si>
  <si>
    <t>INS00570</t>
  </si>
  <si>
    <t>INS00571</t>
  </si>
  <si>
    <t>INS00572</t>
  </si>
  <si>
    <t>MAPA DE COTAÇÃO -  TUBOS E CONEXÕES FOFO PARA ALIMENTAÇÃO, EXTRAVASOR E LIMPEZA</t>
  </si>
  <si>
    <t>TUBO COM FLANGES PONTA Ø 400MM - 0,25M</t>
  </si>
  <si>
    <t>TUBO COM FLANGES Ø 400MM - 0,99M</t>
  </si>
  <si>
    <t>CURVA 90º COM FLANGES  Ø400MM</t>
  </si>
  <si>
    <t>TUBO COM FLANGES Ø 400MM - 5,80M</t>
  </si>
  <si>
    <t>TUBO COM FLANGES Ø 400MM - 1,45M</t>
  </si>
  <si>
    <t>CURVA 90º COM BOLSA  Ø400MM</t>
  </si>
  <si>
    <t>CURVA 90º COM FLANGES  Ø300MM</t>
  </si>
  <si>
    <t>TUBO COM FLANGES Ø 300MM - 0,25M</t>
  </si>
  <si>
    <t>VALVULA DE GAVETA FLANGE E CABEÇOTE Ø 300MM</t>
  </si>
  <si>
    <t>EXTREMIDADE FLANGE PONTA  Ø300MM</t>
  </si>
  <si>
    <t>TUBO COM FLANGES PONTA Ø 400MM - 0,50M</t>
  </si>
  <si>
    <t>ARRUELAS Ø300MM ABF</t>
  </si>
  <si>
    <t xml:space="preserve">PARAFUSOS  Ø400MM   D X L = 24 X 110 MM </t>
  </si>
  <si>
    <t xml:space="preserve">PARAFUSOS  Ø300MM  D X L = 20 X 100 MM </t>
  </si>
  <si>
    <t>TUBO COM FLANGES PONTA Ø 400MM - 2,95M</t>
  </si>
  <si>
    <t>TUBO COM FLANGES Ø 400MM - 0,914M</t>
  </si>
  <si>
    <t>TUBO COM FLANGES PONTA Ø 400MM - 2,35M</t>
  </si>
  <si>
    <t>TUBO COM FLANGES Ø 400MM - 0,985M</t>
  </si>
  <si>
    <t>CURVA 90º COM FLANGE Ø300MM</t>
  </si>
  <si>
    <t>TOCO COM FLANGES Ø 300MM - 0,25M</t>
  </si>
  <si>
    <t>VALVULA DE GAVETA FLANGE VOLANTE CUNHA REVESTIDA DE BORRACHA  CORPO CURTO Ø 300</t>
  </si>
  <si>
    <t>EXTREMIDADE PONTA E FLANGE  Ø300MM</t>
  </si>
  <si>
    <t>TUBO COM FLANGES Ø 600MM - 1,0M</t>
  </si>
  <si>
    <t>REGISTRO CHATO  FLANGE  CABEÇOTE  CUNHA METALICA  S/ BY-PASS E S/REDUTOR  Ø 600</t>
  </si>
  <si>
    <t>CURVA 45º COM FLANGE Ø600MM</t>
  </si>
  <si>
    <t>TUBO COM FLANGES Ø 600MM - 2,36M</t>
  </si>
  <si>
    <t>TÊ COM FLANGES Ø 600MM</t>
  </si>
  <si>
    <t>FLANGE CEGO  Ø 600MM</t>
  </si>
  <si>
    <t>TUBO COM FLANGES Ø 600MM - 1,45M</t>
  </si>
  <si>
    <t>TÊ REDUÇÃO COM FLANGES Ø 600MM X Ø 500MM</t>
  </si>
  <si>
    <t>TUBO COM FLANGES Ø 500MM - 1,50M</t>
  </si>
  <si>
    <t>TÊ COM FLANGES Ø 500MM</t>
  </si>
  <si>
    <t>TUBO COM FLANGES Ø 500MM - 0,50M</t>
  </si>
  <si>
    <t>CURVA 90º COM FLANGE Ø500MM</t>
  </si>
  <si>
    <t>TUBO COM FLANGES Ø 500MM - 0,25M</t>
  </si>
  <si>
    <t>VALVULA BORBOLETA FLANGE  VOLANTE NA POSIÇÃO 01  Ø500MM</t>
  </si>
  <si>
    <t>JUNTA  DESMONTAGEM  TRAVADA AXIALMENTE Ø500MM</t>
  </si>
  <si>
    <t>TUBO COM FLANGES Ø 600MM - 2,00M</t>
  </si>
  <si>
    <t>TÊ REDUÇÃO COM FLANGES Ø 600MM X Ø 200MM</t>
  </si>
  <si>
    <t>TUBO COM FLANGES Ø200MM - 0,20M</t>
  </si>
  <si>
    <t>VALVULA BORBOLETA FLANGE  VOLANTE NA POSIÇÃO 01  Ø200MM</t>
  </si>
  <si>
    <t>JUNTA  DESMONTAGEM  TRAVADA AXIALMENTE Ø200MM</t>
  </si>
  <si>
    <t>CURVA 90º COM FLANGE Ø200MM</t>
  </si>
  <si>
    <t>TUBO COM FLANGES PONTA Ø 500MM - 0,81M</t>
  </si>
  <si>
    <t>CURVA 90º COM BOLSA  Ø500MM</t>
  </si>
  <si>
    <t>TUBO COM FLANGES PONTA Ø 200MM - 1,293M</t>
  </si>
  <si>
    <t>CURVA 90º COM BOLSA  Ø200MM</t>
  </si>
  <si>
    <t>ARRUELAS Ø500MM ABF</t>
  </si>
  <si>
    <t xml:space="preserve">PARAFUSOS   Ø600MM   D X L = 27 X 120 MM </t>
  </si>
  <si>
    <t xml:space="preserve">PARAFUSOS  Ø500MM   D X L = 24 X 110 MM </t>
  </si>
  <si>
    <t xml:space="preserve">PARAFUSOS  Ø200MM  D X L = 20 X 90 MM </t>
  </si>
  <si>
    <t>INS00573</t>
  </si>
  <si>
    <t>INS00574</t>
  </si>
  <si>
    <t>INS00575</t>
  </si>
  <si>
    <t>INS00576</t>
  </si>
  <si>
    <t>INS00577</t>
  </si>
  <si>
    <t>INS00578</t>
  </si>
  <si>
    <t>INS00579</t>
  </si>
  <si>
    <t>INS00580</t>
  </si>
  <si>
    <t>INS00581</t>
  </si>
  <si>
    <t>INS00582</t>
  </si>
  <si>
    <t>INS00583</t>
  </si>
  <si>
    <t>INS00584</t>
  </si>
  <si>
    <t>INS00585</t>
  </si>
  <si>
    <t>INS00586</t>
  </si>
  <si>
    <t>INS00587</t>
  </si>
  <si>
    <t>INS00588</t>
  </si>
  <si>
    <t>INS00589</t>
  </si>
  <si>
    <t>INS00590</t>
  </si>
  <si>
    <t>INS00591</t>
  </si>
  <si>
    <t>INS00592</t>
  </si>
  <si>
    <t>INS00593</t>
  </si>
  <si>
    <t>INS00594</t>
  </si>
  <si>
    <t>INS00595</t>
  </si>
  <si>
    <t>INS00596</t>
  </si>
  <si>
    <t>INS00597</t>
  </si>
  <si>
    <t>INS00598</t>
  </si>
  <si>
    <t>INS00599</t>
  </si>
  <si>
    <t>INS00600</t>
  </si>
  <si>
    <t>INS00601</t>
  </si>
  <si>
    <t>INS00602</t>
  </si>
  <si>
    <t>INS00603</t>
  </si>
  <si>
    <t>INS00604</t>
  </si>
  <si>
    <t>INS00605</t>
  </si>
  <si>
    <t>INS00606</t>
  </si>
  <si>
    <t>INS00607</t>
  </si>
  <si>
    <t>INS00608</t>
  </si>
  <si>
    <t>INS00609</t>
  </si>
  <si>
    <t>INS00610</t>
  </si>
  <si>
    <t>INS00611</t>
  </si>
  <si>
    <t>INS00612</t>
  </si>
  <si>
    <t>INS00613</t>
  </si>
  <si>
    <t>INS00614</t>
  </si>
  <si>
    <t>INS00615</t>
  </si>
  <si>
    <t>INS00616</t>
  </si>
  <si>
    <t>INS00617</t>
  </si>
  <si>
    <t>INS00618</t>
  </si>
  <si>
    <t>INS00619</t>
  </si>
  <si>
    <t>INS00620</t>
  </si>
  <si>
    <t>INS00621</t>
  </si>
  <si>
    <t>IMBIL IND. E MAN. DE BOMBAS ITA LTDA</t>
  </si>
  <si>
    <t>19 3843-9848</t>
  </si>
  <si>
    <t>MARCELO ROCHA</t>
  </si>
  <si>
    <t>REALFLEX PRODS.DE BORRACHA LTDA</t>
  </si>
  <si>
    <t>60.905.791/0003-92</t>
  </si>
  <si>
    <t>51.482.776/0001-26</t>
  </si>
  <si>
    <t>15 3237-9610</t>
  </si>
  <si>
    <t>GUILHERME</t>
  </si>
  <si>
    <t>ESTRELA DA BORRACHA</t>
  </si>
  <si>
    <t>15.016.488/0001-12</t>
  </si>
  <si>
    <t>65 3363-9800</t>
  </si>
  <si>
    <t>GERALDO</t>
  </si>
  <si>
    <t>MAPA DE COTAÇÃO -  MANGOTE</t>
  </si>
  <si>
    <t>INS00630</t>
  </si>
  <si>
    <t>YETE AMBIENTAL IND. E COM. LTDA</t>
  </si>
  <si>
    <t>68.858.471/0001-79</t>
  </si>
  <si>
    <t>11 5641-6001</t>
  </si>
  <si>
    <t>WALDIR</t>
  </si>
  <si>
    <t>ROFA IND. COM. DE COMPONENTES PLÁSTICOS LTDA</t>
  </si>
  <si>
    <t>11. 274. 118/0001-24</t>
  </si>
  <si>
    <t>11 2276-0680</t>
  </si>
  <si>
    <t>EDUARDO</t>
  </si>
  <si>
    <t>MAPA DE COTAÇÃO -  FORNECIMENTO CALHA PARSHALL</t>
  </si>
  <si>
    <t>MAPA DE COTAÇÃO -  INSTALAÇÃO E MONTAGEM FLOCULADORES + CALHA</t>
  </si>
  <si>
    <t>AQUAMEC IND. E COM. DE EQUIP. LTDA</t>
  </si>
  <si>
    <t>21.998.472/0001-55</t>
  </si>
  <si>
    <t>11 4059-9999</t>
  </si>
  <si>
    <t>ALBERTO</t>
  </si>
  <si>
    <t>ECOSAN TRATAMENTO EM SANEAMENTO EIRELI</t>
  </si>
  <si>
    <t>03.797.748/0001-55</t>
  </si>
  <si>
    <t>11 3468-3800</t>
  </si>
  <si>
    <t>SVG METALURGICA</t>
  </si>
  <si>
    <t>09.001.481/0001-24</t>
  </si>
  <si>
    <t>65 3682-6168</t>
  </si>
  <si>
    <t>IRLAN</t>
  </si>
  <si>
    <t>VAZFLUX SOPRADORES IND. E COM. LTDA</t>
  </si>
  <si>
    <t>11.792.484/0001-75</t>
  </si>
  <si>
    <t>11 5565-1115</t>
  </si>
  <si>
    <t>FABRICIO</t>
  </si>
  <si>
    <t>DOSITEC BOMBAS E COMPR. IND E COM EIRELI</t>
  </si>
  <si>
    <t>66.707.654/0001-68</t>
  </si>
  <si>
    <t>19 3403-1414</t>
  </si>
  <si>
    <t>JOSE</t>
  </si>
  <si>
    <t>INS00631</t>
  </si>
  <si>
    <t>INS00632</t>
  </si>
  <si>
    <t>INS00633</t>
  </si>
  <si>
    <t>INS00634</t>
  </si>
  <si>
    <t>INS00635</t>
  </si>
  <si>
    <t>INS00636</t>
  </si>
  <si>
    <t>INS00637</t>
  </si>
  <si>
    <t>INS00638</t>
  </si>
  <si>
    <t>INS00639</t>
  </si>
  <si>
    <t>INS00640</t>
  </si>
  <si>
    <t>INS00641</t>
  </si>
  <si>
    <t>INS00642</t>
  </si>
  <si>
    <t>INS00643</t>
  </si>
  <si>
    <t>INS00644</t>
  </si>
  <si>
    <t>INS00645</t>
  </si>
  <si>
    <t>INS00646</t>
  </si>
  <si>
    <t>MAPA DE COTAÇÃO - INSTALAÇÕES ELÉTRICAS</t>
  </si>
  <si>
    <t>CABO DE ALUMINIO CA, PROTEGIDO 15KV - 50MM2</t>
  </si>
  <si>
    <t>INS00451</t>
  </si>
  <si>
    <t>INS00452</t>
  </si>
  <si>
    <t>INS00457</t>
  </si>
  <si>
    <t>INS00458</t>
  </si>
  <si>
    <t>INS00459</t>
  </si>
  <si>
    <t>PARANA COM DE MAT ELET E SERV LTDA</t>
  </si>
  <si>
    <t>08.139.615/0001-05</t>
  </si>
  <si>
    <t>65 3388-0800</t>
  </si>
  <si>
    <t>DANNYELLE</t>
  </si>
  <si>
    <t>PIZZATTO MATERIAIS ELETRICOS LTDA</t>
  </si>
  <si>
    <t>04.181.115/0001-80</t>
  </si>
  <si>
    <t>65 3052-4200</t>
  </si>
  <si>
    <t>LEANDRO</t>
  </si>
  <si>
    <t>CORDOALHA AÇO, 3/8"</t>
  </si>
  <si>
    <t>MUFLA TERM UNIP INT CABO ISOL XLPE 15KV ATE 35MM2</t>
  </si>
  <si>
    <t>ISOLADOR PEDESTAL 15KV</t>
  </si>
  <si>
    <t>BARRAMENTO COBRE 1/4</t>
  </si>
  <si>
    <t>INS00460</t>
  </si>
  <si>
    <t>CHAVE SECCIONADORA NH 3X600A C/ FUSIVEIS</t>
  </si>
  <si>
    <t>BRAÇO TIPO C</t>
  </si>
  <si>
    <t>INS00475</t>
  </si>
  <si>
    <t>PINO ISOLADOR POLIMERICO 15 KV, 3/8" X 180MM</t>
  </si>
  <si>
    <t>INS00476</t>
  </si>
  <si>
    <t>MANILHA SAPATILHA</t>
  </si>
  <si>
    <t>INS00477</t>
  </si>
  <si>
    <t>INS00478</t>
  </si>
  <si>
    <t>GRAMPO DE ANCORAGEM POLIMÉRICO</t>
  </si>
  <si>
    <t>MUFLA PORCELANA</t>
  </si>
  <si>
    <t>INS00479</t>
  </si>
  <si>
    <t>SUPORTE FIXO PARA MUFLA 15KV</t>
  </si>
  <si>
    <t>INS00662</t>
  </si>
  <si>
    <t>CINTA PARA POSTE CIRCULAR</t>
  </si>
  <si>
    <t xml:space="preserve"> INS00480 </t>
  </si>
  <si>
    <t>ISOLADOR DE ANCORAGEM POLIMÉRICO 15 KV</t>
  </si>
  <si>
    <t xml:space="preserve"> INS00481</t>
  </si>
  <si>
    <t>ISOLADOR POLIMÉRICO TIPO BASTÃO, 15KV</t>
  </si>
  <si>
    <t xml:space="preserve"> INS00482</t>
  </si>
  <si>
    <t>ISOLADOR PEDESTAL, EM PORCELANA, PARA 15 KV</t>
  </si>
  <si>
    <t xml:space="preserve"> INS00483</t>
  </si>
  <si>
    <t>Instalações Elétricas</t>
  </si>
  <si>
    <t>MANGOTE ANILHADO PEAD 14" (350MM)</t>
  </si>
  <si>
    <t>REALFLEX PRODS. DE BORRACHA LTDA</t>
  </si>
  <si>
    <t>TUBO DEFOFO, ADUÇÃO, DN 400</t>
  </si>
  <si>
    <t>INS00254</t>
  </si>
  <si>
    <t>MAPA DE COTAÇÃO -  TUBOS DEFOFO ADUTORA RAP01 - RAP02</t>
  </si>
  <si>
    <t>MAPA DE COTAÇÃO -  CONEXÕES ADUTORA RAP01 - RAP02</t>
  </si>
  <si>
    <t>CURVA 45º COM BOLSA Ø400MM</t>
  </si>
  <si>
    <t>CURVA 22º 30' COM BOLSAS Ø 400MM</t>
  </si>
  <si>
    <t>CURVA 11º15' COM BOLSAS Ø 400MM</t>
  </si>
  <si>
    <t>INS00663</t>
  </si>
  <si>
    <t>INS00664</t>
  </si>
  <si>
    <t>INS00665</t>
  </si>
  <si>
    <t>INS00666</t>
  </si>
  <si>
    <t>MAPA DE COTAÇÃO -  CONEXÕES CAIXA VENTOSA 50MM</t>
  </si>
  <si>
    <t>AAGUA COMERCIO E DISTRIBUICAO DE MATERIAIS HIDRAULICOS EIRELI - EPP</t>
  </si>
  <si>
    <t>09.237.525/0001-10</t>
  </si>
  <si>
    <t>65 3052-5280</t>
  </si>
  <si>
    <t>FERNANDO</t>
  </si>
  <si>
    <t>TÊ COM SAIDA EM FLANGE FOFO, Ø 400MM X Ø 100MM</t>
  </si>
  <si>
    <t>REDUÇÃO CONCENTRICA, FOFO, COM FLANGE, Ø 100MM X Ø 50MM</t>
  </si>
  <si>
    <t>VÁLVULA GAVETA, COM FLANGE, FOFO, Ø 50</t>
  </si>
  <si>
    <t>TUBO  COM FLANGE, FOFO, Ø 50MM - 0,10M</t>
  </si>
  <si>
    <t>VENTOSA A.R.I. "NON-SLAM" D-062-HF-NS, Ø 50MM</t>
  </si>
  <si>
    <t>TAMPÃO EM FERRO FUNDIDO, CLASSE D400, Ø 600MM</t>
  </si>
  <si>
    <t>TAMPA REDONDA PARA REGISTRO, Ø 100MM</t>
  </si>
  <si>
    <t>MAPA DE COTAÇÃO -  CONEXÕES CAIXA DESCARGA 100MM</t>
  </si>
  <si>
    <t>TÊ, FOFO, COM BOLSA E JUNTA ELASTICA E FLANGE, Ø400MM X Ø100MM</t>
  </si>
  <si>
    <t>VALVULA DE GAVETA COM FLANGE, FOFO, Ø100MM</t>
  </si>
  <si>
    <t>ADAPTADOR ULTRAQUICK TIPO "D", FOFO, Ø100MM</t>
  </si>
  <si>
    <t>TUBO DEFOFO, PONTA E BOLSA COM JUNTA ELASTICA, Ø100</t>
  </si>
  <si>
    <t>volume</t>
  </si>
  <si>
    <t>área</t>
  </si>
  <si>
    <t>antiga</t>
  </si>
  <si>
    <t>nova</t>
  </si>
  <si>
    <t>INS00667</t>
  </si>
  <si>
    <t>INS00668</t>
  </si>
  <si>
    <t>INS00669</t>
  </si>
  <si>
    <t>INS00670</t>
  </si>
  <si>
    <t>INS00671</t>
  </si>
  <si>
    <t>INS00672</t>
  </si>
  <si>
    <t>INS00673</t>
  </si>
  <si>
    <t>INS00674</t>
  </si>
  <si>
    <t>INS00675</t>
  </si>
  <si>
    <t>INS00676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</si>
</sst>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R$&quot;\ * #,##0.00_-;\-&quot;R$&quot;\ * #,##0.00_-;_-&quot;R$&quot;\ * &quot;-&quot;??_-;_-@_-"/>
    <numFmt numFmtId="43" formatCode="_-* #,##0.00_-;\-* #,##0.00_-;_-* &quot;-&quot;??_-;_-@_-"/>
  </numFmts>
  <fonts count="11" x14ac:knownFonts="1">
    <font>
      <sz val="11"/>
      <color theme="1"/>
      <name val="Calibri"/>
      <family val="2"/>
    </font>
    <font>
      <sz val="11"/>
      <color theme="1"/>
      <name val="Calibri"/>
      <family val="2"/>
    </font>
    <font>
      <sz val="10"/>
      <color theme="1"/>
      <name val="Calibri"/>
      <family val="2"/>
    </font>
    <font>
      <b/>
      <sz val="10"/>
      <color theme="1"/>
      <name val="Calibri"/>
      <family val="2"/>
    </font>
    <font>
      <b/>
      <sz val="10"/>
      <color theme="0"/>
      <name val="Calibri"/>
      <family val="2"/>
    </font>
    <font>
      <sz val="9"/>
      <color theme="0"/>
      <name val="Calibri"/>
      <family val="2"/>
    </font>
    <font>
      <b/>
      <sz val="10"/>
      <name val="Calibri"/>
      <family val="2"/>
    </font>
    <font>
      <sz val="8"/>
      <name val="Calibri"/>
      <family val="2"/>
    </font>
    <font>
      <sz val="10"/>
      <color theme="1"/>
      <name val="Calibri"/>
      <family val="2"/>
      <scheme val="minor"/>
    </font>
    <font>
      <b/>
      <sz val="10"/>
      <color theme="1"/>
      <name val="Calibri"/>
      <family val="2"/>
      <scheme val="minor"/>
    </font>
    <font>
      <sz val="10"/>
      <color rgb="FF000000"/>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0" tint="-0.14999847407452621"/>
        <bgColor theme="0" tint="-0.14999847407452621"/>
      </patternFill>
    </fill>
    <fill>
      <patternFill patternType="solid">
        <fgColor rgb="FF92D050"/>
        <bgColor indexed="64"/>
      </patternFill>
    </fill>
  </fills>
  <borders count="12">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00">
    <xf numFmtId="0" fontId="0" fillId="0" borderId="0" xfId="0"/>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vertical="center" wrapText="1"/>
    </xf>
    <xf numFmtId="44" fontId="2" fillId="0" borderId="0" xfId="2" applyFont="1" applyBorder="1" applyAlignment="1">
      <alignment vertical="center"/>
    </xf>
    <xf numFmtId="44" fontId="2" fillId="0" borderId="1" xfId="2" applyFont="1" applyBorder="1" applyAlignment="1">
      <alignment vertical="center"/>
    </xf>
    <xf numFmtId="43" fontId="2" fillId="0" borderId="1" xfId="1" applyFont="1" applyBorder="1" applyAlignment="1">
      <alignment vertical="center"/>
    </xf>
    <xf numFmtId="44" fontId="2" fillId="0" borderId="8" xfId="2"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14" fontId="2" fillId="0" borderId="0" xfId="0" applyNumberFormat="1" applyFont="1" applyAlignment="1">
      <alignment horizontal="center" vertical="center"/>
    </xf>
    <xf numFmtId="44" fontId="2" fillId="0" borderId="0" xfId="0" applyNumberFormat="1" applyFont="1" applyAlignment="1">
      <alignment horizontal="right" vertical="center"/>
    </xf>
    <xf numFmtId="0" fontId="2" fillId="0" borderId="0" xfId="0" applyFont="1" applyBorder="1" applyAlignment="1">
      <alignment vertical="center" wrapText="1"/>
    </xf>
    <xf numFmtId="44" fontId="2" fillId="0" borderId="0" xfId="2" applyFont="1" applyAlignment="1">
      <alignment vertical="center"/>
    </xf>
    <xf numFmtId="0" fontId="2" fillId="0" borderId="0" xfId="0" applyFont="1" applyAlignment="1">
      <alignment horizontal="left" vertical="center"/>
    </xf>
    <xf numFmtId="0" fontId="3" fillId="0" borderId="0" xfId="0" applyFont="1" applyAlignment="1">
      <alignment horizontal="left" vertical="center"/>
    </xf>
    <xf numFmtId="0" fontId="4" fillId="2" borderId="1"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Border="1" applyAlignment="1">
      <alignment horizontal="center" vertical="center"/>
    </xf>
    <xf numFmtId="0" fontId="0" fillId="0" borderId="0" xfId="0" applyFont="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0" borderId="0" xfId="0" applyFont="1" applyFill="1" applyBorder="1" applyAlignment="1">
      <alignment vertical="center"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wrapText="1"/>
    </xf>
    <xf numFmtId="14" fontId="2" fillId="0" borderId="2" xfId="0" applyNumberFormat="1" applyFont="1" applyBorder="1" applyAlignment="1">
      <alignment horizontal="center" vertical="center"/>
    </xf>
    <xf numFmtId="0" fontId="2" fillId="3" borderId="5" xfId="0" applyFont="1" applyFill="1" applyBorder="1" applyAlignment="1">
      <alignment horizontal="center" vertical="center"/>
    </xf>
    <xf numFmtId="0" fontId="2" fillId="3" borderId="5" xfId="0" applyFont="1" applyFill="1" applyBorder="1" applyAlignment="1">
      <alignment vertical="center" wrapText="1"/>
    </xf>
    <xf numFmtId="43" fontId="2" fillId="3" borderId="10" xfId="1" applyNumberFormat="1" applyFont="1" applyFill="1" applyBorder="1" applyAlignment="1">
      <alignment vertical="center"/>
    </xf>
    <xf numFmtId="44" fontId="2" fillId="3" borderId="5" xfId="2" applyNumberFormat="1" applyFont="1" applyFill="1" applyBorder="1" applyAlignment="1">
      <alignment vertical="center"/>
    </xf>
    <xf numFmtId="44" fontId="2" fillId="3" borderId="10" xfId="2" applyNumberFormat="1" applyFont="1" applyFill="1" applyBorder="1" applyAlignment="1">
      <alignment vertical="center"/>
    </xf>
    <xf numFmtId="0" fontId="2" fillId="3" borderId="5" xfId="0" applyFont="1" applyFill="1" applyBorder="1" applyAlignment="1">
      <alignment horizontal="center" vertical="center" wrapText="1"/>
    </xf>
    <xf numFmtId="14" fontId="2" fillId="3" borderId="5" xfId="0" applyNumberFormat="1" applyFont="1" applyFill="1" applyBorder="1" applyAlignment="1">
      <alignment horizontal="center" vertical="center"/>
    </xf>
    <xf numFmtId="43" fontId="2" fillId="0" borderId="1" xfId="1" applyNumberFormat="1" applyFont="1" applyBorder="1" applyAlignment="1">
      <alignment vertical="center"/>
    </xf>
    <xf numFmtId="44" fontId="2" fillId="0" borderId="0" xfId="2" applyNumberFormat="1" applyFont="1" applyBorder="1" applyAlignment="1">
      <alignment vertical="center"/>
    </xf>
    <xf numFmtId="0" fontId="2" fillId="0" borderId="0" xfId="0" applyFont="1" applyBorder="1" applyAlignment="1">
      <alignment horizontal="center" vertical="center" wrapText="1"/>
    </xf>
    <xf numFmtId="14" fontId="2" fillId="0" borderId="0" xfId="0" applyNumberFormat="1" applyFont="1" applyBorder="1" applyAlignment="1">
      <alignment horizontal="center" vertical="center"/>
    </xf>
    <xf numFmtId="0" fontId="2" fillId="3" borderId="0" xfId="0" applyFont="1" applyFill="1" applyBorder="1" applyAlignment="1">
      <alignment horizontal="center" vertical="center"/>
    </xf>
    <xf numFmtId="0" fontId="2" fillId="3" borderId="0" xfId="0" applyFont="1" applyFill="1" applyBorder="1" applyAlignment="1">
      <alignment vertical="center" wrapText="1"/>
    </xf>
    <xf numFmtId="44" fontId="2" fillId="3" borderId="0" xfId="2" applyNumberFormat="1" applyFont="1" applyFill="1" applyBorder="1" applyAlignment="1">
      <alignment vertical="center"/>
    </xf>
    <xf numFmtId="0" fontId="2" fillId="3" borderId="0" xfId="0" applyFont="1" applyFill="1" applyBorder="1" applyAlignment="1">
      <alignment horizontal="center" vertical="center" wrapText="1"/>
    </xf>
    <xf numFmtId="14" fontId="2" fillId="3" borderId="0" xfId="0" applyNumberFormat="1" applyFont="1" applyFill="1" applyBorder="1" applyAlignment="1">
      <alignment horizontal="center" vertical="center"/>
    </xf>
    <xf numFmtId="43" fontId="2" fillId="3" borderId="1" xfId="1" applyNumberFormat="1" applyFont="1" applyFill="1" applyBorder="1" applyAlignment="1">
      <alignment vertical="center"/>
    </xf>
    <xf numFmtId="0" fontId="4" fillId="2" borderId="8" xfId="0" applyFont="1" applyFill="1" applyBorder="1" applyAlignment="1">
      <alignment horizontal="center" vertical="center"/>
    </xf>
    <xf numFmtId="44" fontId="2" fillId="0" borderId="8" xfId="0" applyNumberFormat="1" applyFont="1" applyBorder="1" applyAlignment="1">
      <alignment horizontal="right" vertical="center"/>
    </xf>
    <xf numFmtId="44" fontId="2" fillId="3" borderId="9" xfId="0" applyNumberFormat="1" applyFont="1" applyFill="1" applyBorder="1" applyAlignment="1">
      <alignment horizontal="right" vertical="center"/>
    </xf>
    <xf numFmtId="44" fontId="2" fillId="3" borderId="8" xfId="0" applyNumberFormat="1" applyFont="1" applyFill="1" applyBorder="1" applyAlignment="1">
      <alignment horizontal="right" vertical="center"/>
    </xf>
    <xf numFmtId="43" fontId="2" fillId="0" borderId="11" xfId="1" applyNumberFormat="1" applyFont="1" applyBorder="1" applyAlignment="1">
      <alignment vertical="center"/>
    </xf>
    <xf numFmtId="44" fontId="2" fillId="0" borderId="2" xfId="2" applyNumberFormat="1" applyFont="1" applyBorder="1" applyAlignment="1">
      <alignment vertical="center"/>
    </xf>
    <xf numFmtId="44" fontId="2" fillId="0" borderId="11" xfId="2" applyNumberFormat="1" applyFont="1" applyBorder="1" applyAlignment="1">
      <alignment vertical="center"/>
    </xf>
    <xf numFmtId="44" fontId="2" fillId="0" borderId="7" xfId="0" applyNumberFormat="1" applyFont="1" applyBorder="1" applyAlignment="1">
      <alignment horizontal="right" vertical="center"/>
    </xf>
    <xf numFmtId="44" fontId="2" fillId="3" borderId="1" xfId="2" applyNumberFormat="1"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8" fillId="0" borderId="0" xfId="0" applyFont="1"/>
    <xf numFmtId="0" fontId="8" fillId="0" borderId="0" xfId="0" applyFont="1" applyAlignment="1">
      <alignment horizontal="center" vertical="center"/>
    </xf>
    <xf numFmtId="0" fontId="9" fillId="0" borderId="0" xfId="0" applyFont="1" applyAlignment="1">
      <alignment horizontal="center" vertical="center" wrapText="1"/>
    </xf>
    <xf numFmtId="0" fontId="8" fillId="0" borderId="0" xfId="0" applyFont="1" applyAlignment="1">
      <alignment horizontal="left" vertical="center" wrapText="1"/>
    </xf>
    <xf numFmtId="14" fontId="8" fillId="0" borderId="0" xfId="0" applyNumberFormat="1" applyFont="1" applyAlignment="1">
      <alignment horizontal="center" vertical="center"/>
    </xf>
    <xf numFmtId="0" fontId="8" fillId="0" borderId="0" xfId="0" applyFont="1" applyAlignment="1">
      <alignment horizontal="left" vertical="center"/>
    </xf>
    <xf numFmtId="0" fontId="10" fillId="0" borderId="0" xfId="0" applyFont="1"/>
    <xf numFmtId="0" fontId="8" fillId="0" borderId="0" xfId="0" applyFont="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44" fontId="2" fillId="0" borderId="1" xfId="2" applyNumberFormat="1" applyFont="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44" fontId="2" fillId="0" borderId="8" xfId="2" applyNumberFormat="1" applyFont="1" applyBorder="1" applyAlignment="1">
      <alignment vertical="center"/>
    </xf>
    <xf numFmtId="0" fontId="0" fillId="4" borderId="0" xfId="0" applyFill="1"/>
    <xf numFmtId="0" fontId="4" fillId="2" borderId="2"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0" xfId="0" applyFont="1" applyFill="1" applyBorder="1" applyAlignment="1">
      <alignment horizontal="center" vertical="center" textRotation="90"/>
    </xf>
    <xf numFmtId="0" fontId="4" fillId="2" borderId="1" xfId="0" applyFont="1" applyFill="1" applyBorder="1" applyAlignment="1">
      <alignment horizontal="center" vertical="center" textRotation="90"/>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7"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3" xfId="0" applyFont="1" applyFill="1" applyBorder="1" applyAlignment="1">
      <alignment horizontal="center" vertical="center"/>
    </xf>
    <xf numFmtId="0" fontId="3" fillId="0" borderId="4" xfId="0" applyFont="1" applyBorder="1" applyAlignment="1">
      <alignment horizontal="center" vertical="center"/>
    </xf>
    <xf numFmtId="0" fontId="6" fillId="0" borderId="4" xfId="0" applyFont="1" applyFill="1" applyBorder="1" applyAlignment="1">
      <alignment horizontal="center" vertical="center"/>
    </xf>
    <xf numFmtId="0" fontId="9" fillId="0" borderId="0" xfId="0" applyFont="1" applyAlignment="1">
      <alignment horizontal="center" vertical="center"/>
    </xf>
    <xf numFmtId="0" fontId="0" fillId="0" borderId="0" xfId="0" applyAlignment="1">
      <alignment horizontal="center"/>
    </xf>
  </cellXfs>
  <cellStyles count="3">
    <cellStyle name="Moeda" xfId="2" builtinId="4"/>
    <cellStyle name="Normal" xfId="0" builtinId="0"/>
    <cellStyle name="Vírgula" xfId="1" builtinId="3"/>
  </cellStyles>
  <dxfs count="608">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5" formatCode="_-* #,##0.00_-;\-* #,##0.00_-;_-* &quot;-&quot;??_-;_-@_-"/>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35" formatCode="_-* #,##0.00_-;\-* #,##0.00_-;_-* &quot;-&quot;??_-;_-@_-"/>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vertic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theme="1"/>
        <name val="Calibri"/>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none"/>
      </font>
      <numFmt numFmtId="34" formatCode="_-&quot;R$&quot;\ * #,##0.00_-;\-&quot;R$&quot;\ * #,##0.00_-;_-&quot;R$&quot;\ * &quot;-&quot;??_-;_-@_-"/>
      <alignment horizontal="right"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0"/>
        <color theme="1"/>
        <name val="Calibri"/>
        <scheme val="none"/>
      </font>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scheme val="none"/>
      </font>
      <alignment horizontal="center" vertical="center" textRotation="0" wrapText="0" indent="0" justifyLastLine="0" shrinkToFit="0" readingOrder="0"/>
    </dxf>
    <dxf>
      <border outline="0">
        <top style="thin">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1" name="Tabela1" displayName="Tabela1" ref="A9:T31" totalsRowShown="0" tableBorderDxfId="607">
  <autoFilter ref="A9:T31"/>
  <tableColumns count="20">
    <tableColumn id="1" name="Coluna1" dataDxfId="606"/>
    <tableColumn id="2" name="Coluna2" dataDxfId="605"/>
    <tableColumn id="3" name="Coluna3" dataDxfId="604"/>
    <tableColumn id="4" name="Coluna4" dataDxfId="603"/>
    <tableColumn id="5" name="Coluna5" dataDxfId="602" dataCellStyle="Vírgula"/>
    <tableColumn id="6" name="Coluna6" dataDxfId="601" dataCellStyle="Moeda"/>
    <tableColumn id="7" name="Coluna7" dataDxfId="600" dataCellStyle="Moeda">
      <calculatedColumnFormula>F10*$E10</calculatedColumnFormula>
    </tableColumn>
    <tableColumn id="8" name="Coluna8" dataDxfId="599" dataCellStyle="Moeda"/>
    <tableColumn id="9" name="Coluna9" dataDxfId="598" dataCellStyle="Moeda">
      <calculatedColumnFormula>H10*$E10</calculatedColumnFormula>
    </tableColumn>
    <tableColumn id="10" name="Coluna10" dataDxfId="597" dataCellStyle="Moeda"/>
    <tableColumn id="11" name="Coluna11" dataDxfId="596" dataCellStyle="Moeda">
      <calculatedColumnFormula>J10*$E10</calculatedColumnFormula>
    </tableColumn>
    <tableColumn id="12" name="Coluna12" dataDxfId="595" dataCellStyle="Moeda"/>
    <tableColumn id="13" name="Coluna13" dataDxfId="594" dataCellStyle="Moeda">
      <calculatedColumnFormula>L10*$E10</calculatedColumnFormula>
    </tableColumn>
    <tableColumn id="14" name="Coluna14" dataDxfId="593" dataCellStyle="Moeda"/>
    <tableColumn id="15" name="Coluna15" dataDxfId="592" dataCellStyle="Moeda">
      <calculatedColumnFormula>N10*$E10</calculatedColumnFormula>
    </tableColumn>
    <tableColumn id="16" name="Coluna16" dataDxfId="591">
      <calculatedColumnFormula>MEDIAN(J10,H10,F10,L10,N10)</calculatedColumnFormula>
    </tableColumn>
    <tableColumn id="17" name="Coluna17" dataDxfId="590">
      <calculatedColumnFormula>_xlfn.XLOOKUP(P10,F10:O10,$F$7:$O$7)</calculatedColumnFormula>
    </tableColumn>
    <tableColumn id="18" name="Coluna18" dataDxfId="589">
      <calculatedColumnFormula>_xlfn.XLOOKUP(Q10,'RELAÇÃO DE FORNECEDORES'!$A$3:$A$287,'RELAÇÃO DE FORNECEDORES'!$B$3:$B$287)</calculatedColumnFormula>
    </tableColumn>
    <tableColumn id="19" name="Coluna19" dataDxfId="588">
      <calculatedColumnFormula>_xlfn.XLOOKUP(Q10,'RELAÇÃO DE FORNECEDORES'!$A$3:$A$287,'RELAÇÃO DE FORNECEDORES'!$E$3:$E$287)</calculatedColumnFormula>
    </tableColumn>
    <tableColumn id="20" name="Coluna20" dataDxfId="587">
      <calculatedColumnFormula>_xlfn.XLOOKUP(Q10,'RELAÇÃO DE FORNECEDORES'!$A$3:$A$287,'RELAÇÃO DE FORNECEDORES'!$C$3:$C$287)</calculatedColumnFormula>
    </tableColumn>
  </tableColumns>
  <tableStyleInfo name="TableStyleLight1" showFirstColumn="0" showLastColumn="0" showRowStripes="1" showColumnStripes="0"/>
</table>
</file>

<file path=xl/tables/table10.xml><?xml version="1.0" encoding="utf-8"?>
<table xmlns="http://schemas.openxmlformats.org/spreadsheetml/2006/main" id="15" name="Tabela271016" displayName="Tabela271016" ref="A34:T35" totalsRowShown="0" tableBorderDxfId="418">
  <autoFilter ref="A34:T35"/>
  <tableColumns count="20">
    <tableColumn id="1" name="Coluna1" dataDxfId="417"/>
    <tableColumn id="2" name="Coluna2" dataDxfId="416"/>
    <tableColumn id="3" name="Coluna3" dataDxfId="415"/>
    <tableColumn id="4" name="Coluna4" dataDxfId="414"/>
    <tableColumn id="5" name="Coluna5" dataDxfId="413" dataCellStyle="Vírgula"/>
    <tableColumn id="6" name="Coluna6" dataDxfId="412" dataCellStyle="Moeda"/>
    <tableColumn id="7" name="Coluna7" dataDxfId="411" dataCellStyle="Moeda">
      <calculatedColumnFormula>F35*$E35</calculatedColumnFormula>
    </tableColumn>
    <tableColumn id="8" name="Coluna8" dataDxfId="410" dataCellStyle="Moeda"/>
    <tableColumn id="9" name="Coluna9" dataDxfId="409" dataCellStyle="Moeda">
      <calculatedColumnFormula>H35*$E35</calculatedColumnFormula>
    </tableColumn>
    <tableColumn id="10" name="Coluna10" dataDxfId="408" dataCellStyle="Moeda"/>
    <tableColumn id="11" name="Coluna11" dataDxfId="407" dataCellStyle="Moeda">
      <calculatedColumnFormula>J35*$E35</calculatedColumnFormula>
    </tableColumn>
    <tableColumn id="12" name="Coluna12" dataDxfId="406" dataCellStyle="Moeda"/>
    <tableColumn id="13" name="Coluna13" dataDxfId="405" dataCellStyle="Moeda">
      <calculatedColumnFormula>L35*$E35</calculatedColumnFormula>
    </tableColumn>
    <tableColumn id="14" name="Coluna14" dataDxfId="404" dataCellStyle="Moeda"/>
    <tableColumn id="15" name="Coluna15" dataDxfId="403" dataCellStyle="Moeda">
      <calculatedColumnFormula>N35*$E35</calculatedColumnFormula>
    </tableColumn>
    <tableColumn id="16" name="Coluna16" dataDxfId="402">
      <calculatedColumnFormula>MEDIAN(J35,H35,F35,L35,N35)</calculatedColumnFormula>
    </tableColumn>
    <tableColumn id="17" name="Coluna17" dataDxfId="401">
      <calculatedColumnFormula>_xlfn.XLOOKUP(P35,F35:O35,$F$32:$O$32)</calculatedColumnFormula>
    </tableColumn>
    <tableColumn id="18" name="Coluna18" dataDxfId="400">
      <calculatedColumnFormula>_xlfn.XLOOKUP(Q35,'RELAÇÃO DE FORNECEDORES'!$A$3:$A$287,'RELAÇÃO DE FORNECEDORES'!$B$3:$B$287)</calculatedColumnFormula>
    </tableColumn>
    <tableColumn id="19" name="Coluna19" dataDxfId="399">
      <calculatedColumnFormula>_xlfn.XLOOKUP(Q35,'RELAÇÃO DE FORNECEDORES'!$A$3:$A$287,'RELAÇÃO DE FORNECEDORES'!$E$3:$E$287)</calculatedColumnFormula>
    </tableColumn>
    <tableColumn id="20" name="Coluna20" dataDxfId="398">
      <calculatedColumnFormula>_xlfn.XLOOKUP(Q35,'RELAÇÃO DE FORNECEDORES'!$A$3:$A$287,'RELAÇÃO DE FORNECEDORES'!$C$3:$C$287)</calculatedColumnFormula>
    </tableColumn>
  </tableColumns>
  <tableStyleInfo name="TableStyleLight1" showFirstColumn="0" showLastColumn="0" showRowStripes="1" showColumnStripes="0"/>
</table>
</file>

<file path=xl/tables/table11.xml><?xml version="1.0" encoding="utf-8"?>
<table xmlns="http://schemas.openxmlformats.org/spreadsheetml/2006/main" id="16" name="Tabela271517" displayName="Tabela271517" ref="A45:T47" totalsRowShown="0" tableBorderDxfId="397">
  <autoFilter ref="A45:T47"/>
  <tableColumns count="20">
    <tableColumn id="1" name="Coluna1" dataDxfId="396"/>
    <tableColumn id="2" name="Coluna2" dataDxfId="395"/>
    <tableColumn id="3" name="Coluna3" dataDxfId="394"/>
    <tableColumn id="4" name="Coluna4" dataDxfId="393"/>
    <tableColumn id="5" name="Coluna5" dataDxfId="392" dataCellStyle="Vírgula"/>
    <tableColumn id="6" name="Coluna6" dataDxfId="391" dataCellStyle="Moeda"/>
    <tableColumn id="7" name="Coluna7" dataDxfId="390" dataCellStyle="Moeda">
      <calculatedColumnFormula>F46*$E46</calculatedColumnFormula>
    </tableColumn>
    <tableColumn id="8" name="Coluna8" dataDxfId="389" dataCellStyle="Moeda"/>
    <tableColumn id="9" name="Coluna9" dataDxfId="388" dataCellStyle="Moeda">
      <calculatedColumnFormula>H46*$E46</calculatedColumnFormula>
    </tableColumn>
    <tableColumn id="10" name="Coluna10" dataDxfId="387" dataCellStyle="Moeda"/>
    <tableColumn id="11" name="Coluna11" dataDxfId="386" dataCellStyle="Moeda">
      <calculatedColumnFormula>J46*$E46</calculatedColumnFormula>
    </tableColumn>
    <tableColumn id="12" name="Coluna12" dataDxfId="385" dataCellStyle="Moeda"/>
    <tableColumn id="13" name="Coluna13" dataDxfId="384" dataCellStyle="Moeda">
      <calculatedColumnFormula>L46*$E46</calculatedColumnFormula>
    </tableColumn>
    <tableColumn id="14" name="Coluna14" dataDxfId="383" dataCellStyle="Moeda"/>
    <tableColumn id="15" name="Coluna15" dataDxfId="382" dataCellStyle="Moeda">
      <calculatedColumnFormula>N46*$E46</calculatedColumnFormula>
    </tableColumn>
    <tableColumn id="16" name="Coluna16" dataDxfId="381">
      <calculatedColumnFormula>MEDIAN(J46,H46,F46,L46,N46)</calculatedColumnFormula>
    </tableColumn>
    <tableColumn id="17" name="Coluna17" dataDxfId="380">
      <calculatedColumnFormula>_xlfn.XLOOKUP(P46,F46:O47,$F$22:$O$22)</calculatedColumnFormula>
    </tableColumn>
    <tableColumn id="18" name="Coluna18" dataDxfId="379">
      <calculatedColumnFormula>_xlfn.XLOOKUP(Q46,'RELAÇÃO DE FORNECEDORES'!$A$3:$A$287,'RELAÇÃO DE FORNECEDORES'!$B$3:$B$287)</calculatedColumnFormula>
    </tableColumn>
    <tableColumn id="19" name="Coluna19" dataDxfId="378">
      <calculatedColumnFormula>_xlfn.XLOOKUP(Q46,'RELAÇÃO DE FORNECEDORES'!$A$3:$A$287,'RELAÇÃO DE FORNECEDORES'!$E$3:$E$287)</calculatedColumnFormula>
    </tableColumn>
    <tableColumn id="20" name="Coluna20" dataDxfId="377">
      <calculatedColumnFormula>_xlfn.XLOOKUP(Q46,'RELAÇÃO DE FORNECEDORES'!$A$3:$A$287,'RELAÇÃO DE FORNECEDORES'!$C$3:$C$287)</calculatedColumnFormula>
    </tableColumn>
  </tableColumns>
  <tableStyleInfo name="TableStyleLight1" showFirstColumn="0" showLastColumn="0" showRowStripes="1" showColumnStripes="0"/>
</table>
</file>

<file path=xl/tables/table12.xml><?xml version="1.0" encoding="utf-8"?>
<table xmlns="http://schemas.openxmlformats.org/spreadsheetml/2006/main" id="17" name="Tabela27101618" displayName="Tabela27101618" ref="A66:T67" totalsRowShown="0" tableBorderDxfId="376">
  <autoFilter ref="A66:T67"/>
  <tableColumns count="20">
    <tableColumn id="1" name="Coluna1" dataDxfId="375"/>
    <tableColumn id="2" name="Coluna2" dataDxfId="374"/>
    <tableColumn id="3" name="Coluna3" dataDxfId="373"/>
    <tableColumn id="4" name="Coluna4" dataDxfId="372"/>
    <tableColumn id="5" name="Coluna5" dataDxfId="371" dataCellStyle="Vírgula"/>
    <tableColumn id="6" name="Coluna6" dataDxfId="370" dataCellStyle="Moeda"/>
    <tableColumn id="7" name="Coluna7" dataDxfId="369" dataCellStyle="Moeda">
      <calculatedColumnFormula>F67*$E67</calculatedColumnFormula>
    </tableColumn>
    <tableColumn id="8" name="Coluna8" dataDxfId="368" dataCellStyle="Moeda"/>
    <tableColumn id="9" name="Coluna9" dataDxfId="367" dataCellStyle="Moeda">
      <calculatedColumnFormula>H67*$E67</calculatedColumnFormula>
    </tableColumn>
    <tableColumn id="10" name="Coluna10" dataDxfId="366" dataCellStyle="Moeda"/>
    <tableColumn id="11" name="Coluna11" dataDxfId="365" dataCellStyle="Moeda">
      <calculatedColumnFormula>J67*$E67</calculatedColumnFormula>
    </tableColumn>
    <tableColumn id="12" name="Coluna12" dataDxfId="364" dataCellStyle="Moeda"/>
    <tableColumn id="13" name="Coluna13" dataDxfId="363" dataCellStyle="Moeda">
      <calculatedColumnFormula>L67*$E67</calculatedColumnFormula>
    </tableColumn>
    <tableColumn id="14" name="Coluna14" dataDxfId="362" dataCellStyle="Moeda"/>
    <tableColumn id="15" name="Coluna15" dataDxfId="361" dataCellStyle="Moeda">
      <calculatedColumnFormula>N67*$E67</calculatedColumnFormula>
    </tableColumn>
    <tableColumn id="16" name="Coluna16" dataDxfId="360">
      <calculatedColumnFormula>MEDIAN(J67,H67,F67,L67,N67)</calculatedColumnFormula>
    </tableColumn>
    <tableColumn id="17" name="Coluna17" dataDxfId="359">
      <calculatedColumnFormula>_xlfn.XLOOKUP(P67,F67:O67,$F$64:$O$64)</calculatedColumnFormula>
    </tableColumn>
    <tableColumn id="18" name="Coluna18" dataDxfId="358">
      <calculatedColumnFormula>_xlfn.XLOOKUP(Q67,'RELAÇÃO DE FORNECEDORES'!$A$3:$A$287,'RELAÇÃO DE FORNECEDORES'!$B$3:$B$287)</calculatedColumnFormula>
    </tableColumn>
    <tableColumn id="19" name="Coluna19" dataDxfId="357">
      <calculatedColumnFormula>_xlfn.XLOOKUP(Q67,'RELAÇÃO DE FORNECEDORES'!$A$3:$A$287,'RELAÇÃO DE FORNECEDORES'!$E$3:$E$287)</calculatedColumnFormula>
    </tableColumn>
    <tableColumn id="20" name="Coluna20" dataDxfId="356">
      <calculatedColumnFormula>_xlfn.XLOOKUP(Q67,'RELAÇÃO DE FORNECEDORES'!$A$3:$A$287,'RELAÇÃO DE FORNECEDORES'!$C$3:$C$287)</calculatedColumnFormula>
    </tableColumn>
  </tableColumns>
  <tableStyleInfo name="TableStyleLight1" showFirstColumn="0" showLastColumn="0" showRowStripes="1" showColumnStripes="0"/>
</table>
</file>

<file path=xl/tables/table13.xml><?xml version="1.0" encoding="utf-8"?>
<table xmlns="http://schemas.openxmlformats.org/spreadsheetml/2006/main" id="18" name="Tabela2710161819" displayName="Tabela2710161819" ref="A76:T77" totalsRowShown="0" tableBorderDxfId="355">
  <autoFilter ref="A76:T77"/>
  <tableColumns count="20">
    <tableColumn id="1" name="Coluna1" dataDxfId="354"/>
    <tableColumn id="2" name="Coluna2" dataDxfId="353"/>
    <tableColumn id="3" name="Coluna3" dataDxfId="352"/>
    <tableColumn id="4" name="Coluna4" dataDxfId="351"/>
    <tableColumn id="5" name="Coluna5" dataDxfId="350" dataCellStyle="Vírgula"/>
    <tableColumn id="6" name="Coluna6" dataDxfId="349" dataCellStyle="Moeda"/>
    <tableColumn id="7" name="Coluna7" dataDxfId="348" dataCellStyle="Moeda">
      <calculatedColumnFormula>F77*$E77</calculatedColumnFormula>
    </tableColumn>
    <tableColumn id="8" name="Coluna8" dataDxfId="347" dataCellStyle="Moeda"/>
    <tableColumn id="9" name="Coluna9" dataDxfId="346" dataCellStyle="Moeda">
      <calculatedColumnFormula>H77*$E77</calculatedColumnFormula>
    </tableColumn>
    <tableColumn id="10" name="Coluna10" dataDxfId="345" dataCellStyle="Moeda"/>
    <tableColumn id="11" name="Coluna11" dataDxfId="344" dataCellStyle="Moeda">
      <calculatedColumnFormula>J77*$E77</calculatedColumnFormula>
    </tableColumn>
    <tableColumn id="12" name="Coluna12" dataDxfId="343" dataCellStyle="Moeda"/>
    <tableColumn id="13" name="Coluna13" dataDxfId="342" dataCellStyle="Moeda">
      <calculatedColumnFormula>L77*$E77</calculatedColumnFormula>
    </tableColumn>
    <tableColumn id="14" name="Coluna14" dataDxfId="341" dataCellStyle="Moeda"/>
    <tableColumn id="15" name="Coluna15" dataDxfId="340" dataCellStyle="Moeda">
      <calculatedColumnFormula>N77*$E77</calculatedColumnFormula>
    </tableColumn>
    <tableColumn id="16" name="Coluna16" dataDxfId="339">
      <calculatedColumnFormula>MEDIAN(J77,H77,F77,L77,N77)</calculatedColumnFormula>
    </tableColumn>
    <tableColumn id="17" name="Coluna17" dataDxfId="338">
      <calculatedColumnFormula>_xlfn.XLOOKUP(P77,F77:O77,$F74:$O74)</calculatedColumnFormula>
    </tableColumn>
    <tableColumn id="18" name="Coluna18" dataDxfId="337">
      <calculatedColumnFormula>_xlfn.XLOOKUP(Q77,'RELAÇÃO DE FORNECEDORES'!$A$3:$A$287,'RELAÇÃO DE FORNECEDORES'!$B$3:$B$287)</calculatedColumnFormula>
    </tableColumn>
    <tableColumn id="19" name="Coluna19" dataDxfId="336">
      <calculatedColumnFormula>_xlfn.XLOOKUP(Q77,'RELAÇÃO DE FORNECEDORES'!$A$3:$A$287,'RELAÇÃO DE FORNECEDORES'!$E$3:$E$287)</calculatedColumnFormula>
    </tableColumn>
    <tableColumn id="20" name="Coluna20" dataDxfId="335">
      <calculatedColumnFormula>_xlfn.XLOOKUP(Q77,'RELAÇÃO DE FORNECEDORES'!$A$3:$A$287,'RELAÇÃO DE FORNECEDORES'!$C$3:$C$287)</calculatedColumnFormula>
    </tableColumn>
  </tableColumns>
  <tableStyleInfo name="TableStyleLight1" showFirstColumn="0" showLastColumn="0" showRowStripes="1" showColumnStripes="0"/>
</table>
</file>

<file path=xl/tables/table14.xml><?xml version="1.0" encoding="utf-8"?>
<table xmlns="http://schemas.openxmlformats.org/spreadsheetml/2006/main" id="19" name="Tabela271016181920" displayName="Tabela271016181920" ref="A87:T88" totalsRowShown="0" tableBorderDxfId="334">
  <autoFilter ref="A87:T88"/>
  <tableColumns count="20">
    <tableColumn id="1" name="Coluna1" dataDxfId="333"/>
    <tableColumn id="2" name="Coluna2" dataDxfId="332"/>
    <tableColumn id="3" name="Coluna3" dataDxfId="331"/>
    <tableColumn id="4" name="Coluna4" dataDxfId="330"/>
    <tableColumn id="5" name="Coluna5" dataDxfId="329" dataCellStyle="Vírgula"/>
    <tableColumn id="6" name="Coluna6" dataDxfId="328" dataCellStyle="Moeda"/>
    <tableColumn id="7" name="Coluna7" dataDxfId="327" dataCellStyle="Moeda">
      <calculatedColumnFormula>F88*$E88</calculatedColumnFormula>
    </tableColumn>
    <tableColumn id="8" name="Coluna8" dataDxfId="326" dataCellStyle="Moeda"/>
    <tableColumn id="9" name="Coluna9" dataDxfId="325" dataCellStyle="Moeda">
      <calculatedColumnFormula>H88*$E88</calculatedColumnFormula>
    </tableColumn>
    <tableColumn id="10" name="Coluna10" dataDxfId="324" dataCellStyle="Moeda"/>
    <tableColumn id="11" name="Coluna11" dataDxfId="323" dataCellStyle="Moeda">
      <calculatedColumnFormula>J88*$E88</calculatedColumnFormula>
    </tableColumn>
    <tableColumn id="12" name="Coluna12" dataDxfId="322" dataCellStyle="Moeda"/>
    <tableColumn id="13" name="Coluna13" dataDxfId="321" dataCellStyle="Moeda">
      <calculatedColumnFormula>L88*$E88</calculatedColumnFormula>
    </tableColumn>
    <tableColumn id="14" name="Coluna14" dataDxfId="320" dataCellStyle="Moeda"/>
    <tableColumn id="15" name="Coluna15" dataDxfId="319" dataCellStyle="Moeda">
      <calculatedColumnFormula>N88*$E88</calculatedColumnFormula>
    </tableColumn>
    <tableColumn id="16" name="Coluna16" dataDxfId="318">
      <calculatedColumnFormula>MEDIAN(J88,H88,F88,L88,N88)</calculatedColumnFormula>
    </tableColumn>
    <tableColumn id="17" name="Coluna17" dataDxfId="317">
      <calculatedColumnFormula>_xlfn.XLOOKUP(P88,F88:O88,$F85:$O85)</calculatedColumnFormula>
    </tableColumn>
    <tableColumn id="18" name="Coluna18" dataDxfId="316">
      <calculatedColumnFormula>_xlfn.XLOOKUP(Q88,'RELAÇÃO DE FORNECEDORES'!$A$3:$A$287,'RELAÇÃO DE FORNECEDORES'!$B$3:$B$287)</calculatedColumnFormula>
    </tableColumn>
    <tableColumn id="19" name="Coluna19" dataDxfId="315">
      <calculatedColumnFormula>_xlfn.XLOOKUP(Q88,'RELAÇÃO DE FORNECEDORES'!$A$3:$A$287,'RELAÇÃO DE FORNECEDORES'!$E$3:$E$287)</calculatedColumnFormula>
    </tableColumn>
    <tableColumn id="20" name="Coluna20" dataDxfId="314">
      <calculatedColumnFormula>_xlfn.XLOOKUP(Q88,'RELAÇÃO DE FORNECEDORES'!$A$3:$A$287,'RELAÇÃO DE FORNECEDORES'!$C$3:$C$287)</calculatedColumnFormula>
    </tableColumn>
  </tableColumns>
  <tableStyleInfo name="TableStyleLight1" showFirstColumn="0" showLastColumn="0" showRowStripes="1" showColumnStripes="0"/>
</table>
</file>

<file path=xl/tables/table15.xml><?xml version="1.0" encoding="utf-8"?>
<table xmlns="http://schemas.openxmlformats.org/spreadsheetml/2006/main" id="20" name="Tabela27101618192021" displayName="Tabela27101618192021" ref="A98:T102" totalsRowShown="0" tableBorderDxfId="313">
  <autoFilter ref="A98:T102"/>
  <tableColumns count="20">
    <tableColumn id="1" name="Coluna1" dataDxfId="312"/>
    <tableColumn id="2" name="Coluna2" dataDxfId="311"/>
    <tableColumn id="3" name="Coluna3" dataDxfId="310"/>
    <tableColumn id="4" name="Coluna4" dataDxfId="309"/>
    <tableColumn id="5" name="Coluna5" dataDxfId="308" dataCellStyle="Vírgula"/>
    <tableColumn id="6" name="Coluna6" dataDxfId="307" dataCellStyle="Moeda"/>
    <tableColumn id="7" name="Coluna7" dataDxfId="306" dataCellStyle="Moeda">
      <calculatedColumnFormula>F99*$E99</calculatedColumnFormula>
    </tableColumn>
    <tableColumn id="8" name="Coluna8" dataDxfId="305" dataCellStyle="Moeda"/>
    <tableColumn id="9" name="Coluna9" dataDxfId="304" dataCellStyle="Moeda">
      <calculatedColumnFormula>H99*$E99</calculatedColumnFormula>
    </tableColumn>
    <tableColumn id="10" name="Coluna10" dataDxfId="303" dataCellStyle="Moeda"/>
    <tableColumn id="11" name="Coluna11" dataDxfId="302" dataCellStyle="Moeda">
      <calculatedColumnFormula>J99*$E99</calculatedColumnFormula>
    </tableColumn>
    <tableColumn id="12" name="Coluna12" dataDxfId="301" dataCellStyle="Moeda"/>
    <tableColumn id="13" name="Coluna13" dataDxfId="300" dataCellStyle="Moeda">
      <calculatedColumnFormula>L99*$E99</calculatedColumnFormula>
    </tableColumn>
    <tableColumn id="14" name="Coluna14" dataDxfId="299" dataCellStyle="Moeda"/>
    <tableColumn id="15" name="Coluna15" dataDxfId="298" dataCellStyle="Moeda">
      <calculatedColumnFormula>N99*$E99</calculatedColumnFormula>
    </tableColumn>
    <tableColumn id="16" name="Coluna16" dataDxfId="297">
      <calculatedColumnFormula>MEDIAN(J99,H99,F99,L99,N99)</calculatedColumnFormula>
    </tableColumn>
    <tableColumn id="17" name="Coluna17" dataDxfId="296">
      <calculatedColumnFormula>_xlfn.XLOOKUP(P99,F99:O99,$F96:$O96)</calculatedColumnFormula>
    </tableColumn>
    <tableColumn id="18" name="Coluna18" dataDxfId="295">
      <calculatedColumnFormula>_xlfn.XLOOKUP(Q99,'RELAÇÃO DE FORNECEDORES'!$A$3:$A$287,'RELAÇÃO DE FORNECEDORES'!$B$3:$B$287)</calculatedColumnFormula>
    </tableColumn>
    <tableColumn id="19" name="Coluna19" dataDxfId="294">
      <calculatedColumnFormula>_xlfn.XLOOKUP(Q99,'RELAÇÃO DE FORNECEDORES'!$A$3:$A$287,'RELAÇÃO DE FORNECEDORES'!$E$3:$E$287)</calculatedColumnFormula>
    </tableColumn>
    <tableColumn id="20" name="Coluna20" dataDxfId="293">
      <calculatedColumnFormula>_xlfn.XLOOKUP(Q99,'RELAÇÃO DE FORNECEDORES'!$A$3:$A$287,'RELAÇÃO DE FORNECEDORES'!$C$3:$C$287)</calculatedColumnFormula>
    </tableColumn>
  </tableColumns>
  <tableStyleInfo name="TableStyleLight1" showFirstColumn="0" showLastColumn="0" showRowStripes="1" showColumnStripes="0"/>
</table>
</file>

<file path=xl/tables/table16.xml><?xml version="1.0" encoding="utf-8"?>
<table xmlns="http://schemas.openxmlformats.org/spreadsheetml/2006/main" id="23" name="Tabela2710161824" displayName="Tabela2710161824" ref="A56:T57" totalsRowShown="0" tableBorderDxfId="292">
  <autoFilter ref="A56:T57"/>
  <tableColumns count="20">
    <tableColumn id="1" name="Coluna1" dataDxfId="291"/>
    <tableColumn id="2" name="Coluna2" dataDxfId="290"/>
    <tableColumn id="3" name="Coluna3" dataDxfId="289"/>
    <tableColumn id="4" name="Coluna4" dataDxfId="288"/>
    <tableColumn id="5" name="Coluna5" dataDxfId="287" dataCellStyle="Vírgula"/>
    <tableColumn id="6" name="Coluna6" dataDxfId="286" dataCellStyle="Moeda"/>
    <tableColumn id="7" name="Coluna7" dataDxfId="285" dataCellStyle="Moeda">
      <calculatedColumnFormula>F57*$E57</calculatedColumnFormula>
    </tableColumn>
    <tableColumn id="8" name="Coluna8" dataDxfId="284" dataCellStyle="Moeda"/>
    <tableColumn id="9" name="Coluna9" dataDxfId="283" dataCellStyle="Moeda">
      <calculatedColumnFormula>H57*$E57</calculatedColumnFormula>
    </tableColumn>
    <tableColumn id="10" name="Coluna10" dataDxfId="282" dataCellStyle="Moeda"/>
    <tableColumn id="11" name="Coluna11" dataDxfId="281" dataCellStyle="Moeda">
      <calculatedColumnFormula>J57*$E57</calculatedColumnFormula>
    </tableColumn>
    <tableColumn id="12" name="Coluna12" dataDxfId="280" dataCellStyle="Moeda"/>
    <tableColumn id="13" name="Coluna13" dataDxfId="279" dataCellStyle="Moeda">
      <calculatedColumnFormula>L57*$E57</calculatedColumnFormula>
    </tableColumn>
    <tableColumn id="14" name="Coluna14" dataDxfId="278" dataCellStyle="Moeda"/>
    <tableColumn id="15" name="Coluna15" dataDxfId="277" dataCellStyle="Moeda">
      <calculatedColumnFormula>N57*$E57</calculatedColumnFormula>
    </tableColumn>
    <tableColumn id="16" name="Coluna16" dataDxfId="276">
      <calculatedColumnFormula>MEDIAN(J57,H57,F57,L57,N57)</calculatedColumnFormula>
    </tableColumn>
    <tableColumn id="17" name="Coluna17" dataDxfId="275">
      <calculatedColumnFormula>_xlfn.XLOOKUP(P57,F57:O57,$F$54:$O$54)</calculatedColumnFormula>
    </tableColumn>
    <tableColumn id="18" name="Coluna18" dataDxfId="274">
      <calculatedColumnFormula>_xlfn.XLOOKUP(Q57,'RELAÇÃO DE FORNECEDORES'!$A$3:$A$287,'RELAÇÃO DE FORNECEDORES'!$B$3:$B$287)</calculatedColumnFormula>
    </tableColumn>
    <tableColumn id="19" name="Coluna19" dataDxfId="273">
      <calculatedColumnFormula>_xlfn.XLOOKUP(Q57,'RELAÇÃO DE FORNECEDORES'!$A$3:$A$287,'RELAÇÃO DE FORNECEDORES'!$E$3:$E$287)</calculatedColumnFormula>
    </tableColumn>
    <tableColumn id="20" name="Coluna20" dataDxfId="272">
      <calculatedColumnFormula>_xlfn.XLOOKUP(Q57,'RELAÇÃO DE FORNECEDORES'!$A$3:$A$287,'RELAÇÃO DE FORNECEDORES'!$C$3:$C$287)</calculatedColumnFormula>
    </tableColumn>
  </tableColumns>
  <tableStyleInfo name="TableStyleLight1" showFirstColumn="0" showLastColumn="0" showRowStripes="1" showColumnStripes="0"/>
</table>
</file>

<file path=xl/tables/table17.xml><?xml version="1.0" encoding="utf-8"?>
<table xmlns="http://schemas.openxmlformats.org/spreadsheetml/2006/main" id="5" name="Tabela16" displayName="Tabela16" ref="A9:T37" totalsRowShown="0" tableBorderDxfId="271">
  <autoFilter ref="A9:T37"/>
  <tableColumns count="20">
    <tableColumn id="1" name="Coluna1" dataDxfId="270"/>
    <tableColumn id="2" name="Coluna2" dataDxfId="269"/>
    <tableColumn id="3" name="Coluna3" dataDxfId="268"/>
    <tableColumn id="4" name="Coluna4" dataDxfId="267"/>
    <tableColumn id="5" name="Coluna5" dataDxfId="266" dataCellStyle="Vírgula"/>
    <tableColumn id="6" name="Coluna6" dataDxfId="265" dataCellStyle="Moeda"/>
    <tableColumn id="7" name="Coluna7" dataDxfId="264" dataCellStyle="Moeda">
      <calculatedColumnFormula>F10*$E10</calculatedColumnFormula>
    </tableColumn>
    <tableColumn id="8" name="Coluna8" dataDxfId="263" dataCellStyle="Moeda"/>
    <tableColumn id="9" name="Coluna9" dataDxfId="262" dataCellStyle="Moeda">
      <calculatedColumnFormula>H10*$E10</calculatedColumnFormula>
    </tableColumn>
    <tableColumn id="10" name="Coluna10" dataDxfId="261" dataCellStyle="Moeda"/>
    <tableColumn id="11" name="Coluna11" dataDxfId="260" dataCellStyle="Moeda">
      <calculatedColumnFormula>J10*$E10</calculatedColumnFormula>
    </tableColumn>
    <tableColumn id="12" name="Coluna12" dataDxfId="259" dataCellStyle="Moeda"/>
    <tableColumn id="13" name="Coluna13" dataDxfId="258" dataCellStyle="Moeda">
      <calculatedColumnFormula>L10*$E10</calculatedColumnFormula>
    </tableColumn>
    <tableColumn id="14" name="Coluna14" dataDxfId="257" dataCellStyle="Moeda"/>
    <tableColumn id="15" name="Coluna15" dataDxfId="256" dataCellStyle="Moeda">
      <calculatedColumnFormula>N10*$E10</calculatedColumnFormula>
    </tableColumn>
    <tableColumn id="16" name="Coluna16" dataDxfId="255">
      <calculatedColumnFormula>MEDIAN(J10,H10,F10,L10,N10)</calculatedColumnFormula>
    </tableColumn>
    <tableColumn id="17" name="Coluna17" dataDxfId="254">
      <calculatedColumnFormula>_xlfn.XLOOKUP(P10,F10:O10,$F$7:$O$7)</calculatedColumnFormula>
    </tableColumn>
    <tableColumn id="18" name="Coluna18" dataDxfId="253">
      <calculatedColumnFormula>_xlfn.XLOOKUP(Q10,'RELAÇÃO DE FORNECEDORES'!$A$3:$A$287,'RELAÇÃO DE FORNECEDORES'!$B$3:$B$287)</calculatedColumnFormula>
    </tableColumn>
    <tableColumn id="19" name="Coluna19" dataDxfId="252">
      <calculatedColumnFormula>_xlfn.XLOOKUP(Q10,'RELAÇÃO DE FORNECEDORES'!$A$3:$A$287,'RELAÇÃO DE FORNECEDORES'!$E$3:$E$287)</calculatedColumnFormula>
    </tableColumn>
    <tableColumn id="20" name="Coluna20" dataDxfId="251">
      <calculatedColumnFormula>_xlfn.XLOOKUP(Q10,'RELAÇÃO DE FORNECEDORES'!$A$3:$A$287,'RELAÇÃO DE FORNECEDORES'!$C$3:$C$287)</calculatedColumnFormula>
    </tableColumn>
  </tableColumns>
  <tableStyleInfo name="TableStyleLight1" showFirstColumn="0" showLastColumn="0" showRowStripes="1" showColumnStripes="0"/>
</table>
</file>

<file path=xl/tables/table18.xml><?xml version="1.0" encoding="utf-8"?>
<table xmlns="http://schemas.openxmlformats.org/spreadsheetml/2006/main" id="6" name="Tabela27" displayName="Tabela27" ref="A109:T111" totalsRowShown="0" tableBorderDxfId="250">
  <autoFilter ref="A109:T111"/>
  <tableColumns count="20">
    <tableColumn id="1" name="Coluna1" dataDxfId="249"/>
    <tableColumn id="2" name="Coluna2" dataDxfId="248"/>
    <tableColumn id="3" name="Coluna3" dataDxfId="247"/>
    <tableColumn id="4" name="Coluna4" dataDxfId="246"/>
    <tableColumn id="5" name="Coluna5" dataDxfId="245" dataCellStyle="Vírgula"/>
    <tableColumn id="6" name="Coluna6" dataDxfId="244" dataCellStyle="Moeda"/>
    <tableColumn id="7" name="Coluna7" dataDxfId="243" dataCellStyle="Moeda">
      <calculatedColumnFormula>F110*$E110</calculatedColumnFormula>
    </tableColumn>
    <tableColumn id="8" name="Coluna8" dataDxfId="242" dataCellStyle="Moeda"/>
    <tableColumn id="9" name="Coluna9" dataDxfId="241" dataCellStyle="Moeda">
      <calculatedColumnFormula>H110*$E110</calculatedColumnFormula>
    </tableColumn>
    <tableColumn id="10" name="Coluna10" dataDxfId="240" dataCellStyle="Moeda"/>
    <tableColumn id="11" name="Coluna11" dataDxfId="239" dataCellStyle="Moeda">
      <calculatedColumnFormula>J110*$E110</calculatedColumnFormula>
    </tableColumn>
    <tableColumn id="12" name="Coluna12" dataDxfId="238" dataCellStyle="Moeda"/>
    <tableColumn id="13" name="Coluna13" dataDxfId="237" dataCellStyle="Moeda">
      <calculatedColumnFormula>L110*$E110</calculatedColumnFormula>
    </tableColumn>
    <tableColumn id="14" name="Coluna14" dataDxfId="236" dataCellStyle="Moeda"/>
    <tableColumn id="15" name="Coluna15" dataDxfId="235" dataCellStyle="Moeda">
      <calculatedColumnFormula>N110*$E110</calculatedColumnFormula>
    </tableColumn>
    <tableColumn id="16" name="Coluna16" dataDxfId="234">
      <calculatedColumnFormula>MEDIAN(J110,H110,F110,L110,N110)</calculatedColumnFormula>
    </tableColumn>
    <tableColumn id="17" name="Coluna17" dataDxfId="233">
      <calculatedColumnFormula>_xlfn.XLOOKUP(P110,F110:O110,$F$107:$O$107)</calculatedColumnFormula>
    </tableColumn>
    <tableColumn id="18" name="Coluna18" dataDxfId="232">
      <calculatedColumnFormula>_xlfn.XLOOKUP(Q110,'RELAÇÃO DE FORNECEDORES'!$A$3:$A$287,'RELAÇÃO DE FORNECEDORES'!$B$3:$B$287)</calculatedColumnFormula>
    </tableColumn>
    <tableColumn id="19" name="Coluna19" dataDxfId="231">
      <calculatedColumnFormula>_xlfn.XLOOKUP(Q110,'RELAÇÃO DE FORNECEDORES'!$A$3:$A$287,'RELAÇÃO DE FORNECEDORES'!$E$3:$E$287)</calculatedColumnFormula>
    </tableColumn>
    <tableColumn id="20" name="Coluna20" dataDxfId="230">
      <calculatedColumnFormula>_xlfn.XLOOKUP(Q110,'RELAÇÃO DE FORNECEDORES'!$A$3:$A$287,'RELAÇÃO DE FORNECEDORES'!$C$3:$C$287)</calculatedColumnFormula>
    </tableColumn>
  </tableColumns>
  <tableStyleInfo name="TableStyleLight1" showFirstColumn="0" showLastColumn="0" showRowStripes="1" showColumnStripes="0"/>
</table>
</file>

<file path=xl/tables/table19.xml><?xml version="1.0" encoding="utf-8"?>
<table xmlns="http://schemas.openxmlformats.org/spreadsheetml/2006/main" id="9" name="Tabela2710" displayName="Tabela2710" ref="A122:T123" totalsRowShown="0" tableBorderDxfId="229">
  <autoFilter ref="A122:T123"/>
  <tableColumns count="20">
    <tableColumn id="1" name="Coluna1" dataDxfId="228"/>
    <tableColumn id="2" name="Coluna2" dataDxfId="227"/>
    <tableColumn id="3" name="Coluna3" dataDxfId="226"/>
    <tableColumn id="4" name="Coluna4" dataDxfId="225"/>
    <tableColumn id="5" name="Coluna5" dataDxfId="224" dataCellStyle="Vírgula"/>
    <tableColumn id="6" name="Coluna6" dataDxfId="223" dataCellStyle="Moeda"/>
    <tableColumn id="7" name="Coluna7" dataDxfId="222" dataCellStyle="Moeda">
      <calculatedColumnFormula>F123*$E123</calculatedColumnFormula>
    </tableColumn>
    <tableColumn id="8" name="Coluna8" dataDxfId="221" dataCellStyle="Moeda"/>
    <tableColumn id="9" name="Coluna9" dataDxfId="220" dataCellStyle="Moeda">
      <calculatedColumnFormula>H123*$E123</calculatedColumnFormula>
    </tableColumn>
    <tableColumn id="10" name="Coluna10" dataDxfId="219" dataCellStyle="Moeda"/>
    <tableColumn id="11" name="Coluna11" dataDxfId="218" dataCellStyle="Moeda">
      <calculatedColumnFormula>J123*$E123</calculatedColumnFormula>
    </tableColumn>
    <tableColumn id="12" name="Coluna12" dataDxfId="217" dataCellStyle="Moeda"/>
    <tableColumn id="13" name="Coluna13" dataDxfId="216" dataCellStyle="Moeda">
      <calculatedColumnFormula>L123*$E123</calculatedColumnFormula>
    </tableColumn>
    <tableColumn id="14" name="Coluna14" dataDxfId="215" dataCellStyle="Moeda"/>
    <tableColumn id="15" name="Coluna15" dataDxfId="214" dataCellStyle="Moeda">
      <calculatedColumnFormula>N123*$E123</calculatedColumnFormula>
    </tableColumn>
    <tableColumn id="16" name="Coluna16" dataDxfId="213">
      <calculatedColumnFormula>MEDIAN(J123,H123,F123,L123,N123)</calculatedColumnFormula>
    </tableColumn>
    <tableColumn id="17" name="Coluna17" dataDxfId="212">
      <calculatedColumnFormula>_xlfn.XLOOKUP(P123,F123:O123,$F$120:$O$120)</calculatedColumnFormula>
    </tableColumn>
    <tableColumn id="18" name="Coluna18" dataDxfId="211">
      <calculatedColumnFormula>_xlfn.XLOOKUP(Q123,'RELAÇÃO DE FORNECEDORES'!$A$3:$A$287,'RELAÇÃO DE FORNECEDORES'!$B$3:$B$287)</calculatedColumnFormula>
    </tableColumn>
    <tableColumn id="19" name="Coluna19" dataDxfId="210">
      <calculatedColumnFormula>_xlfn.XLOOKUP(Q123,'RELAÇÃO DE FORNECEDORES'!$A$3:$A$287,'RELAÇÃO DE FORNECEDORES'!$E$3:$E$287)</calculatedColumnFormula>
    </tableColumn>
    <tableColumn id="20" name="Coluna20" dataDxfId="209">
      <calculatedColumnFormula>_xlfn.XLOOKUP(Q123,'RELAÇÃO DE FORNECEDORES'!$A$3:$A$287,'RELAÇÃO DE FORNECEDORES'!$C$3:$C$287)</calculatedColumnFormula>
    </tableColumn>
  </tableColumns>
  <tableStyleInfo name="TableStyleLight1" showFirstColumn="0" showLastColumn="0" showRowStripes="1" showColumnStripes="0"/>
</table>
</file>

<file path=xl/tables/table2.xml><?xml version="1.0" encoding="utf-8"?>
<table xmlns="http://schemas.openxmlformats.org/spreadsheetml/2006/main" id="2" name="Tabela2" displayName="Tabela2" ref="A50:T51" totalsRowShown="0" tableBorderDxfId="586">
  <autoFilter ref="A50:T51"/>
  <tableColumns count="20">
    <tableColumn id="1" name="Coluna1" dataDxfId="585"/>
    <tableColumn id="2" name="Coluna2" dataDxfId="584"/>
    <tableColumn id="3" name="Coluna3" dataDxfId="583"/>
    <tableColumn id="4" name="Coluna4" dataDxfId="582"/>
    <tableColumn id="5" name="Coluna5" dataDxfId="581" dataCellStyle="Vírgula"/>
    <tableColumn id="6" name="Coluna6" dataDxfId="580" dataCellStyle="Moeda"/>
    <tableColumn id="7" name="Coluna7" dataDxfId="579" dataCellStyle="Moeda">
      <calculatedColumnFormula>F51*$E51</calculatedColumnFormula>
    </tableColumn>
    <tableColumn id="8" name="Coluna8" dataDxfId="578" dataCellStyle="Moeda"/>
    <tableColumn id="9" name="Coluna9" dataDxfId="577" dataCellStyle="Moeda">
      <calculatedColumnFormula>H51*$E51</calculatedColumnFormula>
    </tableColumn>
    <tableColumn id="10" name="Coluna10" dataDxfId="576" dataCellStyle="Moeda"/>
    <tableColumn id="11" name="Coluna11" dataDxfId="575" dataCellStyle="Moeda">
      <calculatedColumnFormula>J51*$E51</calculatedColumnFormula>
    </tableColumn>
    <tableColumn id="12" name="Coluna12" dataDxfId="574" dataCellStyle="Moeda"/>
    <tableColumn id="13" name="Coluna13" dataDxfId="573" dataCellStyle="Moeda">
      <calculatedColumnFormula>L51*$E51</calculatedColumnFormula>
    </tableColumn>
    <tableColumn id="14" name="Coluna14" dataDxfId="572" dataCellStyle="Moeda"/>
    <tableColumn id="15" name="Coluna15" dataDxfId="571" dataCellStyle="Moeda">
      <calculatedColumnFormula>N51*$E51</calculatedColumnFormula>
    </tableColumn>
    <tableColumn id="16" name="Coluna16" dataDxfId="570">
      <calculatedColumnFormula>MEDIAN(J51,H51,F51,L51,N51)</calculatedColumnFormula>
    </tableColumn>
    <tableColumn id="17" name="Coluna17" dataDxfId="569">
      <calculatedColumnFormula>_xlfn.XLOOKUP(P51,F51:O51,$F$48:$O$48)</calculatedColumnFormula>
    </tableColumn>
    <tableColumn id="18" name="Coluna18" dataDxfId="568">
      <calculatedColumnFormula>_xlfn.XLOOKUP(Q51,'RELAÇÃO DE FORNECEDORES'!$A$3:$A$287,'RELAÇÃO DE FORNECEDORES'!$B$3:$B$287)</calculatedColumnFormula>
    </tableColumn>
    <tableColumn id="19" name="Coluna19" dataDxfId="567">
      <calculatedColumnFormula>_xlfn.XLOOKUP(Q51,'RELAÇÃO DE FORNECEDORES'!$A$3:$A$287,'RELAÇÃO DE FORNECEDORES'!$E$3:$E$287)</calculatedColumnFormula>
    </tableColumn>
    <tableColumn id="20" name="Coluna20" dataDxfId="566">
      <calculatedColumnFormula>_xlfn.XLOOKUP(Q51,'RELAÇÃO DE FORNECEDORES'!$A$3:$A$287,'RELAÇÃO DE FORNECEDORES'!$C$3:$C$287)</calculatedColumnFormula>
    </tableColumn>
  </tableColumns>
  <tableStyleInfo name="TableStyleLight1" showFirstColumn="0" showLastColumn="0" showRowStripes="1" showColumnStripes="0"/>
</table>
</file>

<file path=xl/tables/table20.xml><?xml version="1.0" encoding="utf-8"?>
<table xmlns="http://schemas.openxmlformats.org/spreadsheetml/2006/main" id="21" name="Tabela21" displayName="Tabela21" ref="A47:T73" totalsRowShown="0" tableBorderDxfId="208">
  <autoFilter ref="A47:T73"/>
  <tableColumns count="20">
    <tableColumn id="1" name="Coluna1" dataDxfId="207"/>
    <tableColumn id="2" name="Coluna2" dataDxfId="206"/>
    <tableColumn id="3" name="Coluna3" dataDxfId="205"/>
    <tableColumn id="4" name="Coluna4" dataDxfId="204"/>
    <tableColumn id="5" name="Coluna5" dataDxfId="203" dataCellStyle="Vírgula"/>
    <tableColumn id="6" name="Coluna6" dataDxfId="202" dataCellStyle="Moeda"/>
    <tableColumn id="7" name="Coluna7" dataDxfId="201" dataCellStyle="Moeda">
      <calculatedColumnFormula>F48*$E48</calculatedColumnFormula>
    </tableColumn>
    <tableColumn id="8" name="Coluna8" dataDxfId="200" dataCellStyle="Moeda"/>
    <tableColumn id="9" name="Coluna9" dataDxfId="199" dataCellStyle="Moeda">
      <calculatedColumnFormula>H48*$E48</calculatedColumnFormula>
    </tableColumn>
    <tableColumn id="10" name="Coluna10" dataDxfId="198" dataCellStyle="Moeda"/>
    <tableColumn id="11" name="Coluna11">
      <calculatedColumnFormula>J48*$E48</calculatedColumnFormula>
    </tableColumn>
    <tableColumn id="12" name="Coluna12" dataDxfId="197" dataCellStyle="Moeda"/>
    <tableColumn id="13" name="Coluna13" dataDxfId="196" dataCellStyle="Moeda">
      <calculatedColumnFormula>L48*$E48</calculatedColumnFormula>
    </tableColumn>
    <tableColumn id="14" name="Coluna14" dataDxfId="195" dataCellStyle="Moeda"/>
    <tableColumn id="15" name="Coluna15" dataDxfId="194" dataCellStyle="Moeda">
      <calculatedColumnFormula>N48*$E48</calculatedColumnFormula>
    </tableColumn>
    <tableColumn id="16" name="Coluna16" dataDxfId="193">
      <calculatedColumnFormula>MEDIAN(J48,H48,F48,L48,N48)</calculatedColumnFormula>
    </tableColumn>
    <tableColumn id="17" name="Coluna17" dataDxfId="192">
      <calculatedColumnFormula>_xlfn.XLOOKUP(P48,F48:O48,$F$7:$O$7)</calculatedColumnFormula>
    </tableColumn>
    <tableColumn id="18" name="Coluna18" dataDxfId="191">
      <calculatedColumnFormula>_xlfn.XLOOKUP(Q48,'RELAÇÃO DE FORNECEDORES'!$A$3:$A$287,'RELAÇÃO DE FORNECEDORES'!$B$3:$B$287)</calculatedColumnFormula>
    </tableColumn>
    <tableColumn id="19" name="Coluna19" dataDxfId="190">
      <calculatedColumnFormula>_xlfn.XLOOKUP(Q48,'RELAÇÃO DE FORNECEDORES'!$A$3:$A$287,'RELAÇÃO DE FORNECEDORES'!$E$3:$E$287)</calculatedColumnFormula>
    </tableColumn>
    <tableColumn id="20" name="Coluna20" dataDxfId="189">
      <calculatedColumnFormula>_xlfn.XLOOKUP(Q48,'RELAÇÃO DE FORNECEDORES'!$A$3:$A$287,'RELAÇÃO DE FORNECEDORES'!$C$3:$C$287)</calculatedColumnFormula>
    </tableColumn>
  </tableColumns>
  <tableStyleInfo name="TableStyleLight1" showFirstColumn="0" showLastColumn="0" showRowStripes="1" showColumnStripes="0"/>
</table>
</file>

<file path=xl/tables/table21.xml><?xml version="1.0" encoding="utf-8"?>
<table xmlns="http://schemas.openxmlformats.org/spreadsheetml/2006/main" id="24" name="Tabela24" displayName="Tabela24" ref="A84:T100" totalsRowShown="0" tableBorderDxfId="188">
  <autoFilter ref="A84:T100"/>
  <tableColumns count="20">
    <tableColumn id="1" name="Coluna1" dataDxfId="187"/>
    <tableColumn id="2" name="Coluna2" dataDxfId="186"/>
    <tableColumn id="3" name="Coluna3" dataDxfId="185"/>
    <tableColumn id="4" name="Coluna4" dataDxfId="184"/>
    <tableColumn id="5" name="Coluna5" dataDxfId="183" dataCellStyle="Vírgula"/>
    <tableColumn id="6" name="Coluna6" dataDxfId="182" dataCellStyle="Moeda"/>
    <tableColumn id="7" name="Coluna7" dataDxfId="181" dataCellStyle="Moeda">
      <calculatedColumnFormula>F85*$E85</calculatedColumnFormula>
    </tableColumn>
    <tableColumn id="8" name="Coluna8" dataDxfId="180" dataCellStyle="Moeda"/>
    <tableColumn id="9" name="Coluna9" dataDxfId="179" dataCellStyle="Moeda">
      <calculatedColumnFormula>H85*$E85</calculatedColumnFormula>
    </tableColumn>
    <tableColumn id="10" name="Coluna10" dataDxfId="178" dataCellStyle="Moeda"/>
    <tableColumn id="11" name="Coluna11" dataDxfId="177" dataCellStyle="Moeda">
      <calculatedColumnFormula>J85*$E85</calculatedColumnFormula>
    </tableColumn>
    <tableColumn id="12" name="Coluna12" dataDxfId="176" dataCellStyle="Moeda"/>
    <tableColumn id="13" name="Coluna13" dataDxfId="175" dataCellStyle="Moeda">
      <calculatedColumnFormula>L85*$E85</calculatedColumnFormula>
    </tableColumn>
    <tableColumn id="14" name="Coluna14" dataDxfId="174" dataCellStyle="Moeda"/>
    <tableColumn id="15" name="Coluna15" dataDxfId="173" dataCellStyle="Moeda">
      <calculatedColumnFormula>N85*$E85</calculatedColumnFormula>
    </tableColumn>
    <tableColumn id="16" name="Coluna16" dataDxfId="172">
      <calculatedColumnFormula>MEDIAN(J85,H85,F85,L85,N85)</calculatedColumnFormula>
    </tableColumn>
    <tableColumn id="17" name="Coluna17" dataDxfId="171">
      <calculatedColumnFormula>_xlfn.XLOOKUP(P85,F85:O85,$F$82:$O$82)</calculatedColumnFormula>
    </tableColumn>
    <tableColumn id="18" name="Coluna18" dataDxfId="170">
      <calculatedColumnFormula>_xlfn.XLOOKUP(Q85,'RELAÇÃO DE FORNECEDORES'!$A$3:$A$287,'RELAÇÃO DE FORNECEDORES'!$B$3:$B$287)</calculatedColumnFormula>
    </tableColumn>
    <tableColumn id="19" name="Coluna19" dataDxfId="169">
      <calculatedColumnFormula>_xlfn.XLOOKUP(Q85,'RELAÇÃO DE FORNECEDORES'!$A$3:$A$287,'RELAÇÃO DE FORNECEDORES'!$E$3:$E$287)</calculatedColumnFormula>
    </tableColumn>
    <tableColumn id="20" name="Coluna20" dataDxfId="168">
      <calculatedColumnFormula>_xlfn.XLOOKUP(Q85,'RELAÇÃO DE FORNECEDORES'!$A$3:$A$287,'RELAÇÃO DE FORNECEDORES'!$C$3:$C$287)</calculatedColumnFormula>
    </tableColumn>
  </tableColumns>
  <tableStyleInfo name="TableStyleLight1" showFirstColumn="0" showLastColumn="0" showRowStripes="1" showColumnStripes="0"/>
</table>
</file>

<file path=xl/tables/table22.xml><?xml version="1.0" encoding="utf-8"?>
<table xmlns="http://schemas.openxmlformats.org/spreadsheetml/2006/main" id="7" name="Tabela168" displayName="Tabela168" ref="A9:T58" totalsRowShown="0" tableBorderDxfId="167">
  <autoFilter ref="A9:T58"/>
  <tableColumns count="20">
    <tableColumn id="1" name="Coluna1" dataDxfId="166"/>
    <tableColumn id="2" name="Coluna2" dataDxfId="165"/>
    <tableColumn id="3" name="Coluna3" dataDxfId="164"/>
    <tableColumn id="4" name="Coluna4" dataDxfId="163"/>
    <tableColumn id="5" name="Coluna5" dataDxfId="162" dataCellStyle="Vírgula"/>
    <tableColumn id="6" name="Coluna6" dataDxfId="161" dataCellStyle="Moeda"/>
    <tableColumn id="7" name="Coluna7" dataDxfId="160" dataCellStyle="Moeda">
      <calculatedColumnFormula>F10*$E10</calculatedColumnFormula>
    </tableColumn>
    <tableColumn id="8" name="Coluna8" dataDxfId="159" dataCellStyle="Moeda"/>
    <tableColumn id="9" name="Coluna9" dataDxfId="158" dataCellStyle="Moeda">
      <calculatedColumnFormula>H10*$E10</calculatedColumnFormula>
    </tableColumn>
    <tableColumn id="10" name="Coluna10" dataDxfId="157" dataCellStyle="Moeda"/>
    <tableColumn id="11" name="Coluna11" dataDxfId="156" dataCellStyle="Moeda">
      <calculatedColumnFormula>J10*$E10</calculatedColumnFormula>
    </tableColumn>
    <tableColumn id="12" name="Coluna12" dataDxfId="155" dataCellStyle="Moeda"/>
    <tableColumn id="13" name="Coluna13" dataDxfId="154" dataCellStyle="Moeda">
      <calculatedColumnFormula>L10*$E13</calculatedColumnFormula>
    </tableColumn>
    <tableColumn id="14" name="Coluna14" dataDxfId="153" dataCellStyle="Moeda"/>
    <tableColumn id="15" name="Coluna15" dataDxfId="152" dataCellStyle="Moeda">
      <calculatedColumnFormula>N10*$E13</calculatedColumnFormula>
    </tableColumn>
    <tableColumn id="16" name="Coluna16" dataDxfId="151">
      <calculatedColumnFormula>MEDIAN(J10,H10,F10,L10,N10)</calculatedColumnFormula>
    </tableColumn>
    <tableColumn id="17" name="Coluna17" dataDxfId="150">
      <calculatedColumnFormula>_xlfn.XLOOKUP(P10,F10:O10,$F$7:$O$7)</calculatedColumnFormula>
    </tableColumn>
    <tableColumn id="18" name="Coluna18" dataDxfId="149">
      <calculatedColumnFormula>_xlfn.XLOOKUP(Q10,'RELAÇÃO DE FORNECEDORES'!$A$3:$A$287,'RELAÇÃO DE FORNECEDORES'!$B$3:$B$287)</calculatedColumnFormula>
    </tableColumn>
    <tableColumn id="19" name="Coluna19" dataDxfId="148">
      <calculatedColumnFormula>_xlfn.XLOOKUP(Q10,'RELAÇÃO DE FORNECEDORES'!$A$3:$A$287,'RELAÇÃO DE FORNECEDORES'!$E$3:$E$287)</calculatedColumnFormula>
    </tableColumn>
    <tableColumn id="20" name="Coluna20" dataDxfId="147">
      <calculatedColumnFormula>_xlfn.XLOOKUP(Q10,'RELAÇÃO DE FORNECEDORES'!$A$3:$A$287,'RELAÇÃO DE FORNECEDORES'!$C$3:$C$287)</calculatedColumnFormula>
    </tableColumn>
  </tableColumns>
  <tableStyleInfo name="TableStyleLight1" showFirstColumn="0" showLastColumn="0" showRowStripes="1" showColumnStripes="0"/>
</table>
</file>

<file path=xl/tables/table23.xml><?xml version="1.0" encoding="utf-8"?>
<table xmlns="http://schemas.openxmlformats.org/spreadsheetml/2006/main" id="8" name="Tabela279" displayName="Tabela279" ref="A67:T68" totalsRowShown="0" tableBorderDxfId="146">
  <autoFilter ref="A67:T68"/>
  <tableColumns count="20">
    <tableColumn id="1" name="Coluna1" dataDxfId="145"/>
    <tableColumn id="2" name="Coluna2" dataDxfId="144"/>
    <tableColumn id="3" name="Coluna3" dataDxfId="143"/>
    <tableColumn id="4" name="Coluna4" dataDxfId="142"/>
    <tableColumn id="5" name="Coluna5" dataDxfId="141" dataCellStyle="Vírgula"/>
    <tableColumn id="6" name="Coluna6" dataDxfId="140" dataCellStyle="Moeda"/>
    <tableColumn id="7" name="Coluna7" dataDxfId="139" dataCellStyle="Moeda">
      <calculatedColumnFormula>F68*$E68</calculatedColumnFormula>
    </tableColumn>
    <tableColumn id="8" name="Coluna8" dataDxfId="138" dataCellStyle="Moeda"/>
    <tableColumn id="9" name="Coluna9" dataDxfId="137" dataCellStyle="Moeda">
      <calculatedColumnFormula>H68*$E68</calculatedColumnFormula>
    </tableColumn>
    <tableColumn id="10" name="Coluna10" dataDxfId="136" dataCellStyle="Moeda"/>
    <tableColumn id="11" name="Coluna11" dataDxfId="135" dataCellStyle="Moeda">
      <calculatedColumnFormula>J68*$E68</calculatedColumnFormula>
    </tableColumn>
    <tableColumn id="12" name="Coluna12" dataDxfId="134" dataCellStyle="Moeda"/>
    <tableColumn id="13" name="Coluna13" dataDxfId="133" dataCellStyle="Moeda">
      <calculatedColumnFormula>L68*$E68</calculatedColumnFormula>
    </tableColumn>
    <tableColumn id="14" name="Coluna14" dataDxfId="132" dataCellStyle="Moeda"/>
    <tableColumn id="15" name="Coluna15" dataDxfId="131" dataCellStyle="Moeda">
      <calculatedColumnFormula>N68*$E68</calculatedColumnFormula>
    </tableColumn>
    <tableColumn id="16" name="Coluna16" dataDxfId="130">
      <calculatedColumnFormula>MEDIAN(J68,H68,F68,L68,N68)</calculatedColumnFormula>
    </tableColumn>
    <tableColumn id="17" name="Coluna17" dataDxfId="129">
      <calculatedColumnFormula>_xlfn.XLOOKUP(P68,F68:O68,$F$65:$O$65)</calculatedColumnFormula>
    </tableColumn>
    <tableColumn id="18" name="Coluna18" dataDxfId="128">
      <calculatedColumnFormula>_xlfn.XLOOKUP(Q68,'RELAÇÃO DE FORNECEDORES'!$A$3:$A$287,'RELAÇÃO DE FORNECEDORES'!$B$3:$B$287)</calculatedColumnFormula>
    </tableColumn>
    <tableColumn id="19" name="Coluna19" dataDxfId="127">
      <calculatedColumnFormula>_xlfn.XLOOKUP(Q68,'RELAÇÃO DE FORNECEDORES'!$A$3:$A$287,'RELAÇÃO DE FORNECEDORES'!$E$3:$E$287)</calculatedColumnFormula>
    </tableColumn>
    <tableColumn id="20" name="Coluna20" dataDxfId="126">
      <calculatedColumnFormula>_xlfn.XLOOKUP(Q68,'RELAÇÃO DE FORNECEDORES'!$A$3:$A$287,'RELAÇÃO DE FORNECEDORES'!$C$3:$C$287)</calculatedColumnFormula>
    </tableColumn>
  </tableColumns>
  <tableStyleInfo name="TableStyleLight1" showFirstColumn="0" showLastColumn="0" showRowStripes="1" showColumnStripes="0"/>
</table>
</file>

<file path=xl/tables/table24.xml><?xml version="1.0" encoding="utf-8"?>
<table xmlns="http://schemas.openxmlformats.org/spreadsheetml/2006/main" id="10" name="Tabela271011" displayName="Tabela271011" ref="A78:T79" totalsRowShown="0" tableBorderDxfId="125">
  <autoFilter ref="A78:T79"/>
  <tableColumns count="20">
    <tableColumn id="1" name="Coluna1" dataDxfId="124"/>
    <tableColumn id="2" name="Coluna2" dataDxfId="123"/>
    <tableColumn id="3" name="Coluna3" dataDxfId="122"/>
    <tableColumn id="4" name="Coluna4" dataDxfId="121"/>
    <tableColumn id="5" name="Coluna5" dataDxfId="120" dataCellStyle="Vírgula"/>
    <tableColumn id="6" name="Coluna6" dataDxfId="119" dataCellStyle="Moeda"/>
    <tableColumn id="7" name="Coluna7" dataDxfId="118" dataCellStyle="Moeda">
      <calculatedColumnFormula>F79*$E79</calculatedColumnFormula>
    </tableColumn>
    <tableColumn id="8" name="Coluna8" dataDxfId="117" dataCellStyle="Moeda"/>
    <tableColumn id="9" name="Coluna9" dataDxfId="116" dataCellStyle="Moeda">
      <calculatedColumnFormula>H79*$E79</calculatedColumnFormula>
    </tableColumn>
    <tableColumn id="10" name="Coluna10" dataDxfId="115" dataCellStyle="Moeda"/>
    <tableColumn id="11" name="Coluna11" dataDxfId="114" dataCellStyle="Moeda">
      <calculatedColumnFormula>J79*$E79</calculatedColumnFormula>
    </tableColumn>
    <tableColumn id="12" name="Coluna12" dataDxfId="113" dataCellStyle="Moeda"/>
    <tableColumn id="13" name="Coluna13" dataDxfId="112" dataCellStyle="Moeda">
      <calculatedColumnFormula>L79*$E79</calculatedColumnFormula>
    </tableColumn>
    <tableColumn id="14" name="Coluna14" dataDxfId="111" dataCellStyle="Moeda"/>
    <tableColumn id="15" name="Coluna15" dataDxfId="110" dataCellStyle="Moeda">
      <calculatedColumnFormula>N79*$E79</calculatedColumnFormula>
    </tableColumn>
    <tableColumn id="16" name="Coluna16" dataDxfId="109">
      <calculatedColumnFormula>MEDIAN(J79,H79,F79,L79,N79)</calculatedColumnFormula>
    </tableColumn>
    <tableColumn id="17" name="Coluna17" dataDxfId="108">
      <calculatedColumnFormula>_xlfn.XLOOKUP(P79,F79:O79,$F$76:$O$76)</calculatedColumnFormula>
    </tableColumn>
    <tableColumn id="18" name="Coluna18" dataDxfId="107">
      <calculatedColumnFormula>_xlfn.XLOOKUP(Q79,'RELAÇÃO DE FORNECEDORES'!$A$3:$A$287,'RELAÇÃO DE FORNECEDORES'!$B$3:$B$287)</calculatedColumnFormula>
    </tableColumn>
    <tableColumn id="19" name="Coluna19" dataDxfId="106">
      <calculatedColumnFormula>_xlfn.XLOOKUP(Q79,'RELAÇÃO DE FORNECEDORES'!$A$3:$A$287,'RELAÇÃO DE FORNECEDORES'!$E$3:$E$287)</calculatedColumnFormula>
    </tableColumn>
    <tableColumn id="20" name="Coluna20" dataDxfId="105">
      <calculatedColumnFormula>_xlfn.XLOOKUP(Q79,'RELAÇÃO DE FORNECEDORES'!$A$3:$A$287,'RELAÇÃO DE FORNECEDORES'!$C$3:$C$287)</calculatedColumnFormula>
    </tableColumn>
  </tableColumns>
  <tableStyleInfo name="TableStyleLight1" showFirstColumn="0" showLastColumn="0" showRowStripes="1" showColumnStripes="0"/>
</table>
</file>

<file path=xl/tables/table25.xml><?xml version="1.0" encoding="utf-8"?>
<table xmlns="http://schemas.openxmlformats.org/spreadsheetml/2006/main" id="25" name="Tabela16826" displayName="Tabela16826" ref="A89:T90" totalsRowShown="0" tableBorderDxfId="104">
  <autoFilter ref="A89:T90"/>
  <tableColumns count="20">
    <tableColumn id="1" name="Coluna1" dataDxfId="103"/>
    <tableColumn id="2" name="Coluna2" dataDxfId="102"/>
    <tableColumn id="3" name="Coluna3" dataDxfId="101"/>
    <tableColumn id="4" name="Coluna4" dataDxfId="100"/>
    <tableColumn id="5" name="Coluna5" dataDxfId="99" dataCellStyle="Vírgula"/>
    <tableColumn id="6" name="Coluna6" dataDxfId="98" dataCellStyle="Moeda">
      <calculatedColumnFormula>4200/6</calculatedColumnFormula>
    </tableColumn>
    <tableColumn id="7" name="Coluna7" dataDxfId="97" dataCellStyle="Moeda">
      <calculatedColumnFormula>F90*$E90</calculatedColumnFormula>
    </tableColumn>
    <tableColumn id="8" name="Coluna8" dataDxfId="96" dataCellStyle="Moeda">
      <calculatedColumnFormula>7393/6</calculatedColumnFormula>
    </tableColumn>
    <tableColumn id="9" name="Coluna9" dataDxfId="95" dataCellStyle="Moeda">
      <calculatedColumnFormula>H90*$E90</calculatedColumnFormula>
    </tableColumn>
    <tableColumn id="10" name="Coluna10" dataDxfId="94" dataCellStyle="Moeda">
      <calculatedColumnFormula>4637.52/6</calculatedColumnFormula>
    </tableColumn>
    <tableColumn id="11" name="Coluna11" dataDxfId="93" dataCellStyle="Moeda">
      <calculatedColumnFormula>J90*$E90</calculatedColumnFormula>
    </tableColumn>
    <tableColumn id="12" name="Coluna12" dataDxfId="92" dataCellStyle="Moeda"/>
    <tableColumn id="13" name="Coluna13" dataDxfId="91" dataCellStyle="Moeda">
      <calculatedColumnFormula>L90*#REF!</calculatedColumnFormula>
    </tableColumn>
    <tableColumn id="14" name="Coluna14" dataDxfId="90" dataCellStyle="Moeda"/>
    <tableColumn id="15" name="Coluna15" dataDxfId="89" dataCellStyle="Moeda">
      <calculatedColumnFormula>N90*#REF!</calculatedColumnFormula>
    </tableColumn>
    <tableColumn id="16" name="Coluna16" dataDxfId="88">
      <calculatedColumnFormula>MEDIAN(J90,H90,F90,L90,N90)</calculatedColumnFormula>
    </tableColumn>
    <tableColumn id="17" name="Coluna17" dataDxfId="87">
      <calculatedColumnFormula>_xlfn.XLOOKUP(P90,F90:O90,$F$87:$O$87)</calculatedColumnFormula>
    </tableColumn>
    <tableColumn id="18" name="Coluna18" dataDxfId="86">
      <calculatedColumnFormula>_xlfn.XLOOKUP(Q90,'RELAÇÃO DE FORNECEDORES'!$A$3:$A$287,'RELAÇÃO DE FORNECEDORES'!$B$3:$B$287)</calculatedColumnFormula>
    </tableColumn>
    <tableColumn id="19" name="Coluna19" dataDxfId="85">
      <calculatedColumnFormula>_xlfn.XLOOKUP(Q90,'RELAÇÃO DE FORNECEDORES'!$A$3:$A$287,'RELAÇÃO DE FORNECEDORES'!$E$3:$E$287)</calculatedColumnFormula>
    </tableColumn>
    <tableColumn id="20" name="Coluna20" dataDxfId="84">
      <calculatedColumnFormula>_xlfn.XLOOKUP(Q90,'RELAÇÃO DE FORNECEDORES'!$A$3:$A$287,'RELAÇÃO DE FORNECEDORES'!$C$3:$C$287)</calculatedColumnFormula>
    </tableColumn>
  </tableColumns>
  <tableStyleInfo name="TableStyleLight1" showFirstColumn="0" showLastColumn="0" showRowStripes="1" showColumnStripes="0"/>
</table>
</file>

<file path=xl/tables/table26.xml><?xml version="1.0" encoding="utf-8"?>
<table xmlns="http://schemas.openxmlformats.org/spreadsheetml/2006/main" id="26" name="Tabela1682627" displayName="Tabela1682627" ref="A100:T104" totalsRowShown="0" tableBorderDxfId="83">
  <autoFilter ref="A100:T104"/>
  <tableColumns count="20">
    <tableColumn id="1" name="Coluna1" dataDxfId="82"/>
    <tableColumn id="2" name="Coluna2" dataDxfId="81"/>
    <tableColumn id="3" name="Coluna3" dataDxfId="80"/>
    <tableColumn id="4" name="Coluna4" dataDxfId="79"/>
    <tableColumn id="5" name="Coluna5" dataDxfId="78" dataCellStyle="Vírgula"/>
    <tableColumn id="6" name="Coluna6" dataDxfId="77" dataCellStyle="Moeda">
      <calculatedColumnFormula>4200/6</calculatedColumnFormula>
    </tableColumn>
    <tableColumn id="7" name="Coluna7" dataDxfId="76" dataCellStyle="Moeda">
      <calculatedColumnFormula>F101*$E101</calculatedColumnFormula>
    </tableColumn>
    <tableColumn id="8" name="Coluna8" dataDxfId="75" dataCellStyle="Moeda">
      <calculatedColumnFormula>7393/6</calculatedColumnFormula>
    </tableColumn>
    <tableColumn id="9" name="Coluna9" dataDxfId="74" dataCellStyle="Moeda">
      <calculatedColumnFormula>H101*$E101</calculatedColumnFormula>
    </tableColumn>
    <tableColumn id="10" name="Coluna10" dataDxfId="73" dataCellStyle="Moeda"/>
    <tableColumn id="11" name="Coluna11" dataDxfId="72" dataCellStyle="Moeda">
      <calculatedColumnFormula>J101*$E101</calculatedColumnFormula>
    </tableColumn>
    <tableColumn id="12" name="Coluna12" dataDxfId="71" dataCellStyle="Moeda"/>
    <tableColumn id="13" name="Coluna13" dataDxfId="70" dataCellStyle="Moeda">
      <calculatedColumnFormula>L101*$E104</calculatedColumnFormula>
    </tableColumn>
    <tableColumn id="14" name="Coluna14" dataDxfId="69" dataCellStyle="Moeda"/>
    <tableColumn id="15" name="Coluna15" dataDxfId="68" dataCellStyle="Moeda">
      <calculatedColumnFormula>N101*$E104</calculatedColumnFormula>
    </tableColumn>
    <tableColumn id="16" name="Coluna16" dataDxfId="67">
      <calculatedColumnFormula>MEDIAN(J101,H101,F101,L101,N101)</calculatedColumnFormula>
    </tableColumn>
    <tableColumn id="17" name="Coluna17" dataDxfId="66">
      <calculatedColumnFormula>_xlfn.XLOOKUP(P101,F101:O101,$F$98:$O$98)</calculatedColumnFormula>
    </tableColumn>
    <tableColumn id="18" name="Coluna18" dataDxfId="65">
      <calculatedColumnFormula>_xlfn.XLOOKUP(Q101,'RELAÇÃO DE FORNECEDORES'!$A$3:$A$287,'RELAÇÃO DE FORNECEDORES'!$B$3:$B$287)</calculatedColumnFormula>
    </tableColumn>
    <tableColumn id="19" name="Coluna19" dataDxfId="64">
      <calculatedColumnFormula>_xlfn.XLOOKUP(Q101,'RELAÇÃO DE FORNECEDORES'!$A$3:$A$287,'RELAÇÃO DE FORNECEDORES'!$E$3:$E$287)</calculatedColumnFormula>
    </tableColumn>
    <tableColumn id="20" name="Coluna20" dataDxfId="63">
      <calculatedColumnFormula>_xlfn.XLOOKUP(Q101,'RELAÇÃO DE FORNECEDORES'!$A$3:$A$287,'RELAÇÃO DE FORNECEDORES'!$C$3:$C$287)</calculatedColumnFormula>
    </tableColumn>
  </tableColumns>
  <tableStyleInfo name="TableStyleLight1" showFirstColumn="0" showLastColumn="0" showRowStripes="1" showColumnStripes="0"/>
</table>
</file>

<file path=xl/tables/table27.xml><?xml version="1.0" encoding="utf-8"?>
<table xmlns="http://schemas.openxmlformats.org/spreadsheetml/2006/main" id="27" name="Tabela168262728" displayName="Tabela168262728" ref="A113:T120" totalsRowShown="0" tableBorderDxfId="62">
  <autoFilter ref="A113:T120"/>
  <tableColumns count="20">
    <tableColumn id="1" name="Coluna1" dataDxfId="61"/>
    <tableColumn id="2" name="Coluna2" dataDxfId="60"/>
    <tableColumn id="3" name="Coluna3" dataDxfId="59"/>
    <tableColumn id="4" name="Coluna4" dataDxfId="58"/>
    <tableColumn id="5" name="Coluna5" dataDxfId="57" dataCellStyle="Vírgula"/>
    <tableColumn id="6" name="Coluna6" dataDxfId="56" dataCellStyle="Moeda"/>
    <tableColumn id="7" name="Coluna7" dataDxfId="55" dataCellStyle="Moeda">
      <calculatedColumnFormula>F114*$E114</calculatedColumnFormula>
    </tableColumn>
    <tableColumn id="8" name="Coluna8" dataDxfId="54" dataCellStyle="Moeda"/>
    <tableColumn id="9" name="Coluna9" dataDxfId="53" dataCellStyle="Moeda">
      <calculatedColumnFormula>H114*$E114</calculatedColumnFormula>
    </tableColumn>
    <tableColumn id="10" name="Coluna10" dataDxfId="52" dataCellStyle="Moeda"/>
    <tableColumn id="11" name="Coluna11" dataDxfId="51" dataCellStyle="Moeda">
      <calculatedColumnFormula>J114*$E114</calculatedColumnFormula>
    </tableColumn>
    <tableColumn id="12" name="Coluna12" dataDxfId="50" dataCellStyle="Moeda"/>
    <tableColumn id="13" name="Coluna13" dataDxfId="49" dataCellStyle="Moeda">
      <calculatedColumnFormula>L114*$E114</calculatedColumnFormula>
    </tableColumn>
    <tableColumn id="14" name="Coluna14" dataDxfId="48" dataCellStyle="Moeda"/>
    <tableColumn id="15" name="Coluna15" dataDxfId="47" dataCellStyle="Moeda">
      <calculatedColumnFormula>N114*$E114</calculatedColumnFormula>
    </tableColumn>
    <tableColumn id="16" name="Coluna16" dataDxfId="46">
      <calculatedColumnFormula>MEDIAN(J114,H114,F114,L114,N114)</calculatedColumnFormula>
    </tableColumn>
    <tableColumn id="17" name="Coluna17" dataDxfId="45">
      <calculatedColumnFormula>_xlfn.XLOOKUP(P114,F114:O114,$F$111:$O$111)</calculatedColumnFormula>
    </tableColumn>
    <tableColumn id="18" name="Coluna18" dataDxfId="44">
      <calculatedColumnFormula>_xlfn.XLOOKUP(Q114,'RELAÇÃO DE FORNECEDORES'!$A$3:$A$287,'RELAÇÃO DE FORNECEDORES'!$B$3:$B$287)</calculatedColumnFormula>
    </tableColumn>
    <tableColumn id="19" name="Coluna19" dataDxfId="43">
      <calculatedColumnFormula>_xlfn.XLOOKUP(Q114,'RELAÇÃO DE FORNECEDORES'!$A$3:$A$287,'RELAÇÃO DE FORNECEDORES'!$E$3:$E$287)</calculatedColumnFormula>
    </tableColumn>
    <tableColumn id="20" name="Coluna20" dataDxfId="42">
      <calculatedColumnFormula>_xlfn.XLOOKUP(Q114,'RELAÇÃO DE FORNECEDORES'!$A$3:$A$287,'RELAÇÃO DE FORNECEDORES'!$C$3:$C$287)</calculatedColumnFormula>
    </tableColumn>
  </tableColumns>
  <tableStyleInfo name="TableStyleLight1" showFirstColumn="0" showLastColumn="0" showRowStripes="1" showColumnStripes="0"/>
</table>
</file>

<file path=xl/tables/table28.xml><?xml version="1.0" encoding="utf-8"?>
<table xmlns="http://schemas.openxmlformats.org/spreadsheetml/2006/main" id="28" name="Tabela16826272829" displayName="Tabela16826272829" ref="A130:T136" totalsRowShown="0" tableBorderDxfId="41">
  <autoFilter ref="A130:T136"/>
  <tableColumns count="20">
    <tableColumn id="1" name="Coluna1" dataDxfId="40"/>
    <tableColumn id="2" name="Coluna2" dataDxfId="39"/>
    <tableColumn id="3" name="Coluna3" dataDxfId="38"/>
    <tableColumn id="4" name="Coluna4" dataDxfId="37"/>
    <tableColumn id="5" name="Coluna5" dataDxfId="36" dataCellStyle="Vírgula"/>
    <tableColumn id="6" name="Coluna6" dataDxfId="35" dataCellStyle="Moeda"/>
    <tableColumn id="7" name="Coluna7" dataDxfId="34" dataCellStyle="Moeda">
      <calculatedColumnFormula>F131*$E131</calculatedColumnFormula>
    </tableColumn>
    <tableColumn id="8" name="Coluna8" dataDxfId="33" dataCellStyle="Moeda"/>
    <tableColumn id="9" name="Coluna9" dataDxfId="32" dataCellStyle="Moeda">
      <calculatedColumnFormula>H131*$E131</calculatedColumnFormula>
    </tableColumn>
    <tableColumn id="10" name="Coluna10" dataDxfId="31" dataCellStyle="Moeda"/>
    <tableColumn id="11" name="Coluna11" dataDxfId="30" dataCellStyle="Moeda">
      <calculatedColumnFormula>J131*$E131</calculatedColumnFormula>
    </tableColumn>
    <tableColumn id="12" name="Coluna12" dataDxfId="29" dataCellStyle="Moeda"/>
    <tableColumn id="13" name="Coluna13" dataDxfId="28" dataCellStyle="Moeda">
      <calculatedColumnFormula>L131*$E131</calculatedColumnFormula>
    </tableColumn>
    <tableColumn id="14" name="Coluna14" dataDxfId="27" dataCellStyle="Moeda"/>
    <tableColumn id="15" name="Coluna15" dataDxfId="26" dataCellStyle="Moeda">
      <calculatedColumnFormula>N131*$E131</calculatedColumnFormula>
    </tableColumn>
    <tableColumn id="16" name="Coluna16" dataDxfId="25">
      <calculatedColumnFormula>MEDIAN(J131,H131,F131,L131,N131)</calculatedColumnFormula>
    </tableColumn>
    <tableColumn id="17" name="Coluna17" dataDxfId="24">
      <calculatedColumnFormula>_xlfn.XLOOKUP(P131,F131:O131,$F$128:$O$128)</calculatedColumnFormula>
    </tableColumn>
    <tableColumn id="18" name="Coluna18" dataDxfId="23">
      <calculatedColumnFormula>_xlfn.XLOOKUP(Q131,'RELAÇÃO DE FORNECEDORES'!$A$3:$A$287,'RELAÇÃO DE FORNECEDORES'!$B$3:$B$287)</calculatedColumnFormula>
    </tableColumn>
    <tableColumn id="19" name="Coluna19" dataDxfId="22">
      <calculatedColumnFormula>_xlfn.XLOOKUP(Q131,'RELAÇÃO DE FORNECEDORES'!$A$3:$A$287,'RELAÇÃO DE FORNECEDORES'!$E$3:$E$287)</calculatedColumnFormula>
    </tableColumn>
    <tableColumn id="20" name="Coluna20" dataDxfId="21">
      <calculatedColumnFormula>_xlfn.XLOOKUP(Q131,'RELAÇÃO DE FORNECEDORES'!$A$3:$A$287,'RELAÇÃO DE FORNECEDORES'!$C$3:$C$287)</calculatedColumnFormula>
    </tableColumn>
  </tableColumns>
  <tableStyleInfo name="TableStyleLight1" showFirstColumn="0" showLastColumn="0" showRowStripes="1" showColumnStripes="0"/>
</table>
</file>

<file path=xl/tables/table29.xml><?xml version="1.0" encoding="utf-8"?>
<table xmlns="http://schemas.openxmlformats.org/spreadsheetml/2006/main" id="35" name="Tabela271016181920212636" displayName="Tabela271016181920212636" ref="A9:T25" totalsRowShown="0" tableBorderDxfId="20">
  <autoFilter ref="A9:T25"/>
  <tableColumns count="20">
    <tableColumn id="1" name="Coluna1" dataDxfId="19"/>
    <tableColumn id="2" name="Coluna2" dataDxfId="18"/>
    <tableColumn id="3" name="Coluna3" dataDxfId="17"/>
    <tableColumn id="4" name="Coluna4" dataDxfId="16"/>
    <tableColumn id="5" name="Coluna5" dataDxfId="15" dataCellStyle="Vírgula"/>
    <tableColumn id="6" name="Coluna6" dataDxfId="14" dataCellStyle="Moeda"/>
    <tableColumn id="7" name="Coluna7" dataDxfId="13" dataCellStyle="Moeda">
      <calculatedColumnFormula>F10*$E10</calculatedColumnFormula>
    </tableColumn>
    <tableColumn id="8" name="Coluna8" dataDxfId="12" dataCellStyle="Moeda"/>
    <tableColumn id="9" name="Coluna9" dataDxfId="11" dataCellStyle="Moeda">
      <calculatedColumnFormula>H10*$E10</calculatedColumnFormula>
    </tableColumn>
    <tableColumn id="10" name="Coluna10" dataDxfId="10" dataCellStyle="Moeda"/>
    <tableColumn id="11" name="Coluna11" dataDxfId="9" dataCellStyle="Moeda">
      <calculatedColumnFormula>J10*$E10</calculatedColumnFormula>
    </tableColumn>
    <tableColumn id="12" name="Coluna12" dataDxfId="8" dataCellStyle="Moeda"/>
    <tableColumn id="13" name="Coluna13" dataDxfId="7" dataCellStyle="Moeda">
      <calculatedColumnFormula>L10*$E10</calculatedColumnFormula>
    </tableColumn>
    <tableColumn id="14" name="Coluna14" dataDxfId="6" dataCellStyle="Moeda"/>
    <tableColumn id="15" name="Coluna15" dataDxfId="5" dataCellStyle="Moeda">
      <calculatedColumnFormula>N10*$E10</calculatedColumnFormula>
    </tableColumn>
    <tableColumn id="16" name="Coluna16" dataDxfId="4">
      <calculatedColumnFormula>MEDIAN(J10,H10,F10,L10,N10)</calculatedColumnFormula>
    </tableColumn>
    <tableColumn id="17" name="Coluna17" dataDxfId="3">
      <calculatedColumnFormula>_xlfn.XLOOKUP(P10,F10:O10,$F$7:$O$7)</calculatedColumnFormula>
    </tableColumn>
    <tableColumn id="18" name="Coluna18" dataDxfId="2">
      <calculatedColumnFormula>_xlfn.XLOOKUP(Q10,'RELAÇÃO DE FORNECEDORES'!$A$3:$A$287,'RELAÇÃO DE FORNECEDORES'!$B$3:$B$287)</calculatedColumnFormula>
    </tableColumn>
    <tableColumn id="19" name="Coluna19" dataDxfId="1">
      <calculatedColumnFormula>_xlfn.XLOOKUP(Q10,'RELAÇÃO DE FORNECEDORES'!$A$3:$A$287,'RELAÇÃO DE FORNECEDORES'!$E$3:$E$287)</calculatedColumnFormula>
    </tableColumn>
    <tableColumn id="20" name="Coluna20" dataDxfId="0">
      <calculatedColumnFormula>_xlfn.XLOOKUP(Q10,'RELAÇÃO DE FORNECEDORES'!$A$3:$A$287,'RELAÇÃO DE FORNECEDORES'!$C$3:$C$287)</calculatedColumnFormula>
    </tableColumn>
  </tableColumns>
  <tableStyleInfo name="TableStyleLight1" showFirstColumn="0" showLastColumn="0" showRowStripes="1" showColumnStripes="0"/>
</table>
</file>

<file path=xl/tables/table3.xml><?xml version="1.0" encoding="utf-8"?>
<table xmlns="http://schemas.openxmlformats.org/spreadsheetml/2006/main" id="3" name="Tabela3" displayName="Tabela3" ref="A60:T61" totalsRowShown="0" tableBorderDxfId="565">
  <autoFilter ref="A60:T61"/>
  <tableColumns count="20">
    <tableColumn id="1" name="Coluna1" dataDxfId="564"/>
    <tableColumn id="2" name="Coluna2" dataDxfId="563"/>
    <tableColumn id="3" name="Coluna3" dataDxfId="562"/>
    <tableColumn id="4" name="Coluna4" dataDxfId="561"/>
    <tableColumn id="5" name="Coluna5" dataDxfId="560" dataCellStyle="Vírgula"/>
    <tableColumn id="6" name="Coluna6" dataDxfId="559" dataCellStyle="Moeda"/>
    <tableColumn id="7" name="Coluna7" dataDxfId="558" dataCellStyle="Moeda">
      <calculatedColumnFormula>F61*$E61</calculatedColumnFormula>
    </tableColumn>
    <tableColumn id="8" name="Coluna8" dataDxfId="557" dataCellStyle="Moeda"/>
    <tableColumn id="9" name="Coluna9" dataDxfId="556" dataCellStyle="Moeda">
      <calculatedColumnFormula>H61*$E61</calculatedColumnFormula>
    </tableColumn>
    <tableColumn id="10" name="Coluna10" dataDxfId="555" dataCellStyle="Moeda"/>
    <tableColumn id="11" name="Coluna11" dataDxfId="554" dataCellStyle="Moeda">
      <calculatedColumnFormula>J61*$E61</calculatedColumnFormula>
    </tableColumn>
    <tableColumn id="12" name="Coluna12" dataDxfId="553" dataCellStyle="Moeda"/>
    <tableColumn id="13" name="Coluna13" dataDxfId="552" dataCellStyle="Moeda">
      <calculatedColumnFormula>L61*$E61</calculatedColumnFormula>
    </tableColumn>
    <tableColumn id="14" name="Coluna14" dataDxfId="551" dataCellStyle="Moeda"/>
    <tableColumn id="15" name="Coluna15" dataDxfId="550" dataCellStyle="Moeda">
      <calculatedColumnFormula>N61*$E61</calculatedColumnFormula>
    </tableColumn>
    <tableColumn id="16" name="Coluna16" dataDxfId="549">
      <calculatedColumnFormula>MEDIAN(J61,H61,F61,L61,N61)</calculatedColumnFormula>
    </tableColumn>
    <tableColumn id="17" name="Coluna17" dataDxfId="548">
      <calculatedColumnFormula>_xlfn.XLOOKUP(P61,F61:O61,$F58:$O58)</calculatedColumnFormula>
    </tableColumn>
    <tableColumn id="18" name="Coluna18" dataDxfId="547">
      <calculatedColumnFormula>_xlfn.XLOOKUP(Q61,'RELAÇÃO DE FORNECEDORES'!$A$3:$A$287,'RELAÇÃO DE FORNECEDORES'!$B$3:$B$287)</calculatedColumnFormula>
    </tableColumn>
    <tableColumn id="19" name="Coluna19" dataDxfId="546">
      <calculatedColumnFormula>_xlfn.XLOOKUP(Q61,'RELAÇÃO DE FORNECEDORES'!$A$3:$A$287,'RELAÇÃO DE FORNECEDORES'!$E$3:$E$287)</calculatedColumnFormula>
    </tableColumn>
    <tableColumn id="20" name="Coluna20" dataDxfId="545">
      <calculatedColumnFormula>_xlfn.XLOOKUP(Q61,'RELAÇÃO DE FORNECEDORES'!$A$3:$A$287,'RELAÇÃO DE FORNECEDORES'!$C$3:$C$287)</calculatedColumnFormula>
    </tableColumn>
  </tableColumns>
  <tableStyleInfo name="TableStyleLight1" showFirstColumn="0" showLastColumn="0" showRowStripes="1" showColumnStripes="0"/>
</table>
</file>

<file path=xl/tables/table4.xml><?xml version="1.0" encoding="utf-8"?>
<table xmlns="http://schemas.openxmlformats.org/spreadsheetml/2006/main" id="4" name="Tabela35" displayName="Tabela35" ref="A70:T71" totalsRowShown="0" tableBorderDxfId="544">
  <autoFilter ref="A70:T71"/>
  <tableColumns count="20">
    <tableColumn id="1" name="Coluna1" dataDxfId="543"/>
    <tableColumn id="2" name="Coluna2" dataDxfId="542"/>
    <tableColumn id="3" name="Coluna3" dataDxfId="541"/>
    <tableColumn id="4" name="Coluna4" dataDxfId="540"/>
    <tableColumn id="5" name="Coluna5" dataDxfId="539" dataCellStyle="Vírgula"/>
    <tableColumn id="6" name="Coluna6" dataDxfId="538" dataCellStyle="Moeda"/>
    <tableColumn id="7" name="Coluna7" dataDxfId="537" dataCellStyle="Moeda">
      <calculatedColumnFormula>F71*$E71</calculatedColumnFormula>
    </tableColumn>
    <tableColumn id="8" name="Coluna8" dataDxfId="536" dataCellStyle="Moeda">
      <calculatedColumnFormula>5759/12</calculatedColumnFormula>
    </tableColumn>
    <tableColumn id="9" name="Coluna9" dataDxfId="535" dataCellStyle="Moeda">
      <calculatedColumnFormula>H71*$E71</calculatedColumnFormula>
    </tableColumn>
    <tableColumn id="10" name="Coluna10" dataDxfId="534" dataCellStyle="Moeda">
      <calculatedColumnFormula>724.08*6</calculatedColumnFormula>
    </tableColumn>
    <tableColumn id="11" name="Coluna11" dataDxfId="533" dataCellStyle="Moeda">
      <calculatedColumnFormula>J71*$E71</calculatedColumnFormula>
    </tableColumn>
    <tableColumn id="12" name="Coluna12" dataDxfId="532" dataCellStyle="Moeda"/>
    <tableColumn id="13" name="Coluna13" dataDxfId="531" dataCellStyle="Moeda">
      <calculatedColumnFormula>L71*$E71</calculatedColumnFormula>
    </tableColumn>
    <tableColumn id="14" name="Coluna14" dataDxfId="530" dataCellStyle="Moeda"/>
    <tableColumn id="15" name="Coluna15" dataDxfId="529" dataCellStyle="Moeda">
      <calculatedColumnFormula>N71*$E71</calculatedColumnFormula>
    </tableColumn>
    <tableColumn id="16" name="Coluna16" dataDxfId="528">
      <calculatedColumnFormula>MEDIAN(J71,H71,F71,L71,N71)</calculatedColumnFormula>
    </tableColumn>
    <tableColumn id="17" name="Coluna17" dataDxfId="527">
      <calculatedColumnFormula>_xlfn.XLOOKUP(P71,F71:O71,$F68:$O68)</calculatedColumnFormula>
    </tableColumn>
    <tableColumn id="18" name="Coluna18" dataDxfId="526">
      <calculatedColumnFormula>_xlfn.XLOOKUP(Q71,'RELAÇÃO DE FORNECEDORES'!$A$3:$A$287,'RELAÇÃO DE FORNECEDORES'!$B$3:$B$287)</calculatedColumnFormula>
    </tableColumn>
    <tableColumn id="19" name="Coluna19" dataDxfId="525">
      <calculatedColumnFormula>_xlfn.XLOOKUP(Q71,'RELAÇÃO DE FORNECEDORES'!$A$3:$A$287,'RELAÇÃO DE FORNECEDORES'!$E$3:$E$287)</calculatedColumnFormula>
    </tableColumn>
    <tableColumn id="20" name="Coluna20" dataDxfId="524">
      <calculatedColumnFormula>_xlfn.XLOOKUP(Q71,'RELAÇÃO DE FORNECEDORES'!$A$3:$A$287,'RELAÇÃO DE FORNECEDORES'!$C$3:$C$287)</calculatedColumnFormula>
    </tableColumn>
  </tableColumns>
  <tableStyleInfo name="TableStyleLight1" showFirstColumn="0" showLastColumn="0" showRowStripes="1" showColumnStripes="0"/>
</table>
</file>

<file path=xl/tables/table5.xml><?xml version="1.0" encoding="utf-8"?>
<table xmlns="http://schemas.openxmlformats.org/spreadsheetml/2006/main" id="11" name="Tabela212" displayName="Tabela212" ref="A80:T81" totalsRowShown="0" tableBorderDxfId="523">
  <autoFilter ref="A80:T81"/>
  <tableColumns count="20">
    <tableColumn id="1" name="Coluna1" dataDxfId="522"/>
    <tableColumn id="2" name="Coluna2" dataDxfId="521"/>
    <tableColumn id="3" name="Coluna3" dataDxfId="520"/>
    <tableColumn id="4" name="Coluna4" dataDxfId="519"/>
    <tableColumn id="5" name="Coluna5" dataDxfId="518" dataCellStyle="Vírgula"/>
    <tableColumn id="6" name="Coluna6" dataDxfId="517" dataCellStyle="Moeda"/>
    <tableColumn id="7" name="Coluna7" dataDxfId="516" dataCellStyle="Moeda">
      <calculatedColumnFormula>F81*$E81</calculatedColumnFormula>
    </tableColumn>
    <tableColumn id="8" name="Coluna8" dataDxfId="515" dataCellStyle="Moeda"/>
    <tableColumn id="9" name="Coluna9" dataDxfId="514" dataCellStyle="Moeda">
      <calculatedColumnFormula>H81*$E81</calculatedColumnFormula>
    </tableColumn>
    <tableColumn id="10" name="Coluna10" dataDxfId="513" dataCellStyle="Moeda"/>
    <tableColumn id="11" name="Coluna11" dataDxfId="512" dataCellStyle="Moeda">
      <calculatedColumnFormula>J81*$E81</calculatedColumnFormula>
    </tableColumn>
    <tableColumn id="12" name="Coluna12" dataDxfId="511" dataCellStyle="Moeda"/>
    <tableColumn id="13" name="Coluna13" dataDxfId="510" dataCellStyle="Moeda">
      <calculatedColumnFormula>L81*$E81</calculatedColumnFormula>
    </tableColumn>
    <tableColumn id="14" name="Coluna14" dataDxfId="509" dataCellStyle="Moeda"/>
    <tableColumn id="15" name="Coluna15" dataDxfId="508" dataCellStyle="Moeda">
      <calculatedColumnFormula>N81*$E81</calculatedColumnFormula>
    </tableColumn>
    <tableColumn id="16" name="Coluna16" dataDxfId="507">
      <calculatedColumnFormula>MEDIAN(J81,H81,F81,L81,N81)</calculatedColumnFormula>
    </tableColumn>
    <tableColumn id="17" name="Coluna17" dataDxfId="506">
      <calculatedColumnFormula>_xlfn.XLOOKUP(P81,F81:O81,$F$78:$O$78)</calculatedColumnFormula>
    </tableColumn>
    <tableColumn id="18" name="Coluna18" dataDxfId="505">
      <calculatedColumnFormula>_xlfn.XLOOKUP(Q81,'RELAÇÃO DE FORNECEDORES'!$A$3:$A$287,'RELAÇÃO DE FORNECEDORES'!$B$3:$B$287)</calculatedColumnFormula>
    </tableColumn>
    <tableColumn id="19" name="Coluna19" dataDxfId="504">
      <calculatedColumnFormula>_xlfn.XLOOKUP(Q81,'RELAÇÃO DE FORNECEDORES'!$A$3:$A$287,'RELAÇÃO DE FORNECEDORES'!$E$3:$E$287)</calculatedColumnFormula>
    </tableColumn>
    <tableColumn id="20" name="Coluna20" dataDxfId="503">
      <calculatedColumnFormula>_xlfn.XLOOKUP(Q81,'RELAÇÃO DE FORNECEDORES'!$A$3:$A$287,'RELAÇÃO DE FORNECEDORES'!$C$3:$C$287)</calculatedColumnFormula>
    </tableColumn>
  </tableColumns>
  <tableStyleInfo name="TableStyleLight1" showFirstColumn="0" showLastColumn="0" showRowStripes="1" showColumnStripes="0"/>
</table>
</file>

<file path=xl/tables/table6.xml><?xml version="1.0" encoding="utf-8"?>
<table xmlns="http://schemas.openxmlformats.org/spreadsheetml/2006/main" id="12" name="Tabela21213" displayName="Tabela21213" ref="A90:T91" totalsRowShown="0" tableBorderDxfId="502">
  <autoFilter ref="A90:T91"/>
  <tableColumns count="20">
    <tableColumn id="1" name="Coluna1" dataDxfId="501"/>
    <tableColumn id="2" name="Coluna2" dataDxfId="500"/>
    <tableColumn id="3" name="Coluna3" dataDxfId="499"/>
    <tableColumn id="4" name="Coluna4" dataDxfId="498"/>
    <tableColumn id="5" name="Coluna5" dataDxfId="497" dataCellStyle="Vírgula"/>
    <tableColumn id="6" name="Coluna6" dataDxfId="496" dataCellStyle="Moeda"/>
    <tableColumn id="7" name="Coluna7" dataDxfId="495" dataCellStyle="Moeda">
      <calculatedColumnFormula>F91*$E91</calculatedColumnFormula>
    </tableColumn>
    <tableColumn id="8" name="Coluna8" dataDxfId="494" dataCellStyle="Moeda"/>
    <tableColumn id="9" name="Coluna9" dataDxfId="493" dataCellStyle="Moeda">
      <calculatedColumnFormula>H91*$E91</calculatedColumnFormula>
    </tableColumn>
    <tableColumn id="10" name="Coluna10" dataDxfId="492" dataCellStyle="Moeda"/>
    <tableColumn id="11" name="Coluna11" dataDxfId="491" dataCellStyle="Moeda">
      <calculatedColumnFormula>J91*$E91</calculatedColumnFormula>
    </tableColumn>
    <tableColumn id="12" name="Coluna12" dataDxfId="490" dataCellStyle="Moeda"/>
    <tableColumn id="13" name="Coluna13" dataDxfId="489" dataCellStyle="Moeda">
      <calculatedColumnFormula>L91*$E91</calculatedColumnFormula>
    </tableColumn>
    <tableColumn id="14" name="Coluna14" dataDxfId="488" dataCellStyle="Moeda"/>
    <tableColumn id="15" name="Coluna15" dataDxfId="487" dataCellStyle="Moeda">
      <calculatedColumnFormula>N91*$E91</calculatedColumnFormula>
    </tableColumn>
    <tableColumn id="16" name="Coluna16" dataDxfId="486">
      <calculatedColumnFormula>MEDIAN(J91,H91,F91,L91,N91)</calculatedColumnFormula>
    </tableColumn>
    <tableColumn id="17" name="Coluna17" dataDxfId="485">
      <calculatedColumnFormula>_xlfn.XLOOKUP(P91,F91:O91,$F$78:$O$78)</calculatedColumnFormula>
    </tableColumn>
    <tableColumn id="18" name="Coluna18" dataDxfId="484">
      <calculatedColumnFormula>_xlfn.XLOOKUP(Q91,'RELAÇÃO DE FORNECEDORES'!$A$3:$A$287,'RELAÇÃO DE FORNECEDORES'!$B$3:$B$287)</calculatedColumnFormula>
    </tableColumn>
    <tableColumn id="19" name="Coluna19" dataDxfId="483">
      <calculatedColumnFormula>_xlfn.XLOOKUP(Q91,'RELAÇÃO DE FORNECEDORES'!$A$3:$A$287,'RELAÇÃO DE FORNECEDORES'!$E$3:$E$287)</calculatedColumnFormula>
    </tableColumn>
    <tableColumn id="20" name="Coluna20" dataDxfId="482">
      <calculatedColumnFormula>_xlfn.XLOOKUP(Q91,'RELAÇÃO DE FORNECEDORES'!$A$3:$A$287,'RELAÇÃO DE FORNECEDORES'!$C$3:$C$287)</calculatedColumnFormula>
    </tableColumn>
  </tableColumns>
  <tableStyleInfo name="TableStyleLight1" showFirstColumn="0" showLastColumn="0" showRowStripes="1" showColumnStripes="0"/>
</table>
</file>

<file path=xl/tables/table7.xml><?xml version="1.0" encoding="utf-8"?>
<table xmlns="http://schemas.openxmlformats.org/spreadsheetml/2006/main" id="22" name="Tabela223" displayName="Tabela223" ref="A40:T41" totalsRowShown="0" tableBorderDxfId="481">
  <autoFilter ref="A40:T41"/>
  <tableColumns count="20">
    <tableColumn id="1" name="Coluna1" dataDxfId="480"/>
    <tableColumn id="2" name="Coluna2" dataDxfId="479"/>
    <tableColumn id="3" name="Coluna3" dataDxfId="478"/>
    <tableColumn id="4" name="Coluna4" dataDxfId="477"/>
    <tableColumn id="5" name="Coluna5" dataDxfId="476" dataCellStyle="Vírgula"/>
    <tableColumn id="6" name="Coluna6" dataDxfId="475" dataCellStyle="Moeda">
      <calculatedColumnFormula>26100/9</calculatedColumnFormula>
    </tableColumn>
    <tableColumn id="7" name="Coluna7" dataDxfId="474" dataCellStyle="Moeda">
      <calculatedColumnFormula>F41*$E41</calculatedColumnFormula>
    </tableColumn>
    <tableColumn id="8" name="Coluna8" dataDxfId="473" dataCellStyle="Moeda">
      <calculatedColumnFormula>148500/9</calculatedColumnFormula>
    </tableColumn>
    <tableColumn id="9" name="Coluna9" dataDxfId="472" dataCellStyle="Moeda">
      <calculatedColumnFormula>H41*$E41</calculatedColumnFormula>
    </tableColumn>
    <tableColumn id="10" name="Coluna10" dataDxfId="471" dataCellStyle="Moeda"/>
    <tableColumn id="11" name="Coluna11" dataDxfId="470" dataCellStyle="Moeda">
      <calculatedColumnFormula>J41*$E41</calculatedColumnFormula>
    </tableColumn>
    <tableColumn id="12" name="Coluna12" dataDxfId="469" dataCellStyle="Moeda"/>
    <tableColumn id="13" name="Coluna13" dataDxfId="468" dataCellStyle="Moeda">
      <calculatedColumnFormula>L41*$E41</calculatedColumnFormula>
    </tableColumn>
    <tableColumn id="14" name="Coluna14" dataDxfId="467" dataCellStyle="Moeda"/>
    <tableColumn id="15" name="Coluna15" dataDxfId="466" dataCellStyle="Moeda">
      <calculatedColumnFormula>N41*$E41</calculatedColumnFormula>
    </tableColumn>
    <tableColumn id="16" name="Coluna16" dataDxfId="465">
      <calculatedColumnFormula>MEDIAN(J41,H41,F41,L41,N41)</calculatedColumnFormula>
    </tableColumn>
    <tableColumn id="17" name="Coluna17" dataDxfId="464">
      <calculatedColumnFormula>_xlfn.XLOOKUP(P41,F41:O41,$F$38:$O$38)</calculatedColumnFormula>
    </tableColumn>
    <tableColumn id="18" name="Coluna18" dataDxfId="463">
      <calculatedColumnFormula>_xlfn.XLOOKUP(Q41,'RELAÇÃO DE FORNECEDORES'!$A$3:$A$287,'RELAÇÃO DE FORNECEDORES'!$B$3:$B$287)</calculatedColumnFormula>
    </tableColumn>
    <tableColumn id="19" name="Coluna19" dataDxfId="462">
      <calculatedColumnFormula>_xlfn.XLOOKUP(Q41,'RELAÇÃO DE FORNECEDORES'!$A$3:$A$287,'RELAÇÃO DE FORNECEDORES'!$E$3:$E$287)</calculatedColumnFormula>
    </tableColumn>
    <tableColumn id="20" name="Coluna20" dataDxfId="461">
      <calculatedColumnFormula>_xlfn.XLOOKUP(Q41,'RELAÇÃO DE FORNECEDORES'!$A$3:$A$287,'RELAÇÃO DE FORNECEDORES'!$C$3:$C$287)</calculatedColumnFormula>
    </tableColumn>
  </tableColumns>
  <tableStyleInfo name="TableStyleLight1" showFirstColumn="0" showLastColumn="0" showRowStripes="1" showColumnStripes="0"/>
</table>
</file>

<file path=xl/tables/table8.xml><?xml version="1.0" encoding="utf-8"?>
<table xmlns="http://schemas.openxmlformats.org/spreadsheetml/2006/main" id="13" name="Tabela1614" displayName="Tabela1614" ref="A9:T15" totalsRowShown="0" tableBorderDxfId="460">
  <autoFilter ref="A9:T15"/>
  <tableColumns count="20">
    <tableColumn id="1" name="Coluna1" dataDxfId="459"/>
    <tableColumn id="2" name="Coluna2" dataDxfId="458"/>
    <tableColumn id="3" name="Coluna3" dataDxfId="457"/>
    <tableColumn id="4" name="Coluna4" dataDxfId="456"/>
    <tableColumn id="5" name="Coluna5" dataDxfId="455" dataCellStyle="Vírgula"/>
    <tableColumn id="6" name="Coluna6" dataDxfId="454" dataCellStyle="Moeda"/>
    <tableColumn id="7" name="Coluna7" dataDxfId="453" dataCellStyle="Moeda">
      <calculatedColumnFormula>F10*$E10</calculatedColumnFormula>
    </tableColumn>
    <tableColumn id="8" name="Coluna8" dataDxfId="452" dataCellStyle="Moeda"/>
    <tableColumn id="9" name="Coluna9" dataDxfId="451" dataCellStyle="Moeda">
      <calculatedColumnFormula>H10*$E10</calculatedColumnFormula>
    </tableColumn>
    <tableColumn id="10" name="Coluna10" dataDxfId="450" dataCellStyle="Moeda"/>
    <tableColumn id="11" name="Coluna11" dataDxfId="449" dataCellStyle="Moeda">
      <calculatedColumnFormula>J10*$E10</calculatedColumnFormula>
    </tableColumn>
    <tableColumn id="12" name="Coluna12" dataDxfId="448" dataCellStyle="Moeda"/>
    <tableColumn id="13" name="Coluna13" dataDxfId="447" dataCellStyle="Moeda">
      <calculatedColumnFormula>L10*$E10</calculatedColumnFormula>
    </tableColumn>
    <tableColumn id="14" name="Coluna14" dataDxfId="446" dataCellStyle="Moeda"/>
    <tableColumn id="15" name="Coluna15" dataDxfId="445" dataCellStyle="Moeda">
      <calculatedColumnFormula>N10*$E10</calculatedColumnFormula>
    </tableColumn>
    <tableColumn id="16" name="Coluna16" dataDxfId="444">
      <calculatedColumnFormula>MEDIAN(J10,H10,F10,L10,N10)</calculatedColumnFormula>
    </tableColumn>
    <tableColumn id="17" name="Coluna17" dataDxfId="443">
      <calculatedColumnFormula>_xlfn.XLOOKUP(P10,F10:O10,$F$7:$O$7)</calculatedColumnFormula>
    </tableColumn>
    <tableColumn id="18" name="Coluna18" dataDxfId="442">
      <calculatedColumnFormula>_xlfn.XLOOKUP(Q10,'RELAÇÃO DE FORNECEDORES'!$A$3:$A$287,'RELAÇÃO DE FORNECEDORES'!$B$3:$B$287)</calculatedColumnFormula>
    </tableColumn>
    <tableColumn id="19" name="Coluna19" dataDxfId="441">
      <calculatedColumnFormula>_xlfn.XLOOKUP(Q10,'RELAÇÃO DE FORNECEDORES'!$A$3:$A$287,'RELAÇÃO DE FORNECEDORES'!$E$3:$E$287)</calculatedColumnFormula>
    </tableColumn>
    <tableColumn id="20" name="Coluna20" dataDxfId="440">
      <calculatedColumnFormula>_xlfn.XLOOKUP(Q10,'RELAÇÃO DE FORNECEDORES'!$A$3:$A$287,'RELAÇÃO DE FORNECEDORES'!$C$3:$C$287)</calculatedColumnFormula>
    </tableColumn>
  </tableColumns>
  <tableStyleInfo name="TableStyleLight1" showFirstColumn="0" showLastColumn="0" showRowStripes="1" showColumnStripes="0"/>
</table>
</file>

<file path=xl/tables/table9.xml><?xml version="1.0" encoding="utf-8"?>
<table xmlns="http://schemas.openxmlformats.org/spreadsheetml/2006/main" id="14" name="Tabela2715" displayName="Tabela2715" ref="A24:T25" totalsRowShown="0" tableBorderDxfId="439">
  <autoFilter ref="A24:T25"/>
  <tableColumns count="20">
    <tableColumn id="1" name="Coluna1" dataDxfId="438"/>
    <tableColumn id="2" name="Coluna2" dataDxfId="437"/>
    <tableColumn id="3" name="Coluna3" dataDxfId="436"/>
    <tableColumn id="4" name="Coluna4" dataDxfId="435"/>
    <tableColumn id="5" name="Coluna5" dataDxfId="434" dataCellStyle="Vírgula"/>
    <tableColumn id="6" name="Coluna6" dataDxfId="433" dataCellStyle="Moeda"/>
    <tableColumn id="7" name="Coluna7" dataDxfId="432" dataCellStyle="Moeda">
      <calculatedColumnFormula>F25*$E25</calculatedColumnFormula>
    </tableColumn>
    <tableColumn id="8" name="Coluna8" dataDxfId="431" dataCellStyle="Moeda"/>
    <tableColumn id="9" name="Coluna9" dataDxfId="430" dataCellStyle="Moeda">
      <calculatedColumnFormula>H25*$E25</calculatedColumnFormula>
    </tableColumn>
    <tableColumn id="10" name="Coluna10" dataDxfId="429" dataCellStyle="Moeda">
      <calculatedColumnFormula>179196+19431</calculatedColumnFormula>
    </tableColumn>
    <tableColumn id="11" name="Coluna11" dataDxfId="428" dataCellStyle="Moeda">
      <calculatedColumnFormula>J25*$E25</calculatedColumnFormula>
    </tableColumn>
    <tableColumn id="12" name="Coluna12" dataDxfId="427" dataCellStyle="Moeda"/>
    <tableColumn id="13" name="Coluna13" dataDxfId="426" dataCellStyle="Moeda">
      <calculatedColumnFormula>L25*$E25</calculatedColumnFormula>
    </tableColumn>
    <tableColumn id="14" name="Coluna14" dataDxfId="425" dataCellStyle="Moeda"/>
    <tableColumn id="15" name="Coluna15" dataDxfId="424" dataCellStyle="Moeda">
      <calculatedColumnFormula>N25*$E25</calculatedColumnFormula>
    </tableColumn>
    <tableColumn id="16" name="Coluna16" dataDxfId="423">
      <calculatedColumnFormula>MEDIAN(J25,H25,F25,L25,N25)</calculatedColumnFormula>
    </tableColumn>
    <tableColumn id="17" name="Coluna17" dataDxfId="422">
      <calculatedColumnFormula>_xlfn.XLOOKUP(P25,F25:O25,$F$22:$O$22)</calculatedColumnFormula>
    </tableColumn>
    <tableColumn id="18" name="Coluna18" dataDxfId="421">
      <calculatedColumnFormula>_xlfn.XLOOKUP(Q25,'RELAÇÃO DE FORNECEDORES'!$A$3:$A$287,'RELAÇÃO DE FORNECEDORES'!$B$3:$B$287)</calculatedColumnFormula>
    </tableColumn>
    <tableColumn id="19" name="Coluna19" dataDxfId="420">
      <calculatedColumnFormula>_xlfn.XLOOKUP(Q25,'RELAÇÃO DE FORNECEDORES'!$A$3:$A$287,'RELAÇÃO DE FORNECEDORES'!$E$3:$E$287)</calculatedColumnFormula>
    </tableColumn>
    <tableColumn id="20" name="Coluna20" dataDxfId="419">
      <calculatedColumnFormula>_xlfn.XLOOKUP(Q25,'RELAÇÃO DE FORNECEDORES'!$A$3:$A$287,'RELAÇÃO DE FORNECEDORES'!$C$3:$C$287)</calculatedColumnFormula>
    </tableColumn>
  </tableColumns>
  <tableStyleInfo name="TableStyleLight1"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8" Type="http://schemas.openxmlformats.org/officeDocument/2006/relationships/table" Target="../tables/table14.xml"/><Relationship Id="rId3" Type="http://schemas.openxmlformats.org/officeDocument/2006/relationships/table" Target="../tables/table9.xml"/><Relationship Id="rId7" Type="http://schemas.openxmlformats.org/officeDocument/2006/relationships/table" Target="../tables/table13.xml"/><Relationship Id="rId2" Type="http://schemas.openxmlformats.org/officeDocument/2006/relationships/table" Target="../tables/table8.xml"/><Relationship Id="rId1" Type="http://schemas.openxmlformats.org/officeDocument/2006/relationships/printerSettings" Target="../printerSettings/printerSettings2.bin"/><Relationship Id="rId6" Type="http://schemas.openxmlformats.org/officeDocument/2006/relationships/table" Target="../tables/table12.xml"/><Relationship Id="rId5" Type="http://schemas.openxmlformats.org/officeDocument/2006/relationships/table" Target="../tables/table11.xml"/><Relationship Id="rId10" Type="http://schemas.openxmlformats.org/officeDocument/2006/relationships/table" Target="../tables/table16.xml"/><Relationship Id="rId4" Type="http://schemas.openxmlformats.org/officeDocument/2006/relationships/table" Target="../tables/table10.xml"/><Relationship Id="rId9" Type="http://schemas.openxmlformats.org/officeDocument/2006/relationships/table" Target="../tables/table15.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3.bin"/><Relationship Id="rId6" Type="http://schemas.openxmlformats.org/officeDocument/2006/relationships/table" Target="../tables/table21.xml"/><Relationship Id="rId5" Type="http://schemas.openxmlformats.org/officeDocument/2006/relationships/table" Target="../tables/table20.xml"/><Relationship Id="rId4" Type="http://schemas.openxmlformats.org/officeDocument/2006/relationships/table" Target="../tables/table19.xml"/></Relationships>
</file>

<file path=xl/worksheets/_rels/sheet4.xml.rels><?xml version="1.0" encoding="UTF-8" standalone="yes"?>
<Relationships xmlns="http://schemas.openxmlformats.org/package/2006/relationships"><Relationship Id="rId8" Type="http://schemas.openxmlformats.org/officeDocument/2006/relationships/table" Target="../tables/table28.xml"/><Relationship Id="rId3" Type="http://schemas.openxmlformats.org/officeDocument/2006/relationships/table" Target="../tables/table23.xml"/><Relationship Id="rId7" Type="http://schemas.openxmlformats.org/officeDocument/2006/relationships/table" Target="../tables/table27.xml"/><Relationship Id="rId2" Type="http://schemas.openxmlformats.org/officeDocument/2006/relationships/table" Target="../tables/table22.xml"/><Relationship Id="rId1" Type="http://schemas.openxmlformats.org/officeDocument/2006/relationships/printerSettings" Target="../printerSettings/printerSettings4.bin"/><Relationship Id="rId6" Type="http://schemas.openxmlformats.org/officeDocument/2006/relationships/table" Target="../tables/table26.xml"/><Relationship Id="rId5" Type="http://schemas.openxmlformats.org/officeDocument/2006/relationships/table" Target="../tables/table25.xml"/><Relationship Id="rId4" Type="http://schemas.openxmlformats.org/officeDocument/2006/relationships/table" Target="../tables/table2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showGridLines="0" showWhiteSpace="0" view="pageLayout" topLeftCell="A87" zoomScale="70" zoomScaleNormal="70" zoomScalePageLayoutView="70" workbookViewId="0">
      <selection activeCell="K98" sqref="K98"/>
    </sheetView>
  </sheetViews>
  <sheetFormatPr defaultColWidth="9.140625" defaultRowHeight="12.75" x14ac:dyDescent="0.25"/>
  <cols>
    <col min="1" max="1" width="11.85546875" style="1" customWidth="1"/>
    <col min="2" max="2" width="9.7109375" style="1" customWidth="1"/>
    <col min="3" max="3" width="25" style="2" customWidth="1"/>
    <col min="4" max="4" width="9.7109375" style="1" customWidth="1"/>
    <col min="5" max="5" width="10.7109375" style="3" customWidth="1"/>
    <col min="6" max="11" width="15.28515625" style="3" customWidth="1"/>
    <col min="12" max="15" width="15.28515625" style="3" hidden="1" customWidth="1"/>
    <col min="16" max="16" width="15.28515625" style="3" customWidth="1"/>
    <col min="17" max="17" width="27.5703125" style="3" customWidth="1"/>
    <col min="18" max="18" width="15.85546875" style="3" customWidth="1"/>
    <col min="19" max="19" width="16.5703125" style="3" customWidth="1"/>
    <col min="20" max="20" width="12" style="3" customWidth="1"/>
    <col min="21" max="16384" width="9.140625" style="3"/>
  </cols>
  <sheetData>
    <row r="1" spans="1:20" x14ac:dyDescent="0.25">
      <c r="A1" s="17" t="s">
        <v>52</v>
      </c>
      <c r="B1" s="16" t="s">
        <v>54</v>
      </c>
    </row>
    <row r="2" spans="1:20" x14ac:dyDescent="0.25">
      <c r="A2" s="17" t="s">
        <v>53</v>
      </c>
      <c r="B2" s="16" t="s">
        <v>90</v>
      </c>
    </row>
    <row r="3" spans="1:20" x14ac:dyDescent="0.25">
      <c r="A3" s="17"/>
      <c r="B3" s="16"/>
    </row>
    <row r="4" spans="1:20" x14ac:dyDescent="0.25">
      <c r="A4" s="96" t="s">
        <v>55</v>
      </c>
      <c r="B4" s="96"/>
      <c r="C4" s="96"/>
      <c r="D4" s="96"/>
      <c r="E4" s="96"/>
      <c r="F4" s="96"/>
      <c r="G4" s="96"/>
      <c r="H4" s="96"/>
      <c r="I4" s="96"/>
      <c r="J4" s="96"/>
      <c r="K4" s="96"/>
      <c r="L4" s="96"/>
      <c r="M4" s="96"/>
      <c r="N4" s="96"/>
      <c r="O4" s="96"/>
      <c r="P4" s="96"/>
      <c r="Q4" s="96"/>
      <c r="R4" s="96"/>
      <c r="S4" s="96"/>
      <c r="T4" s="96"/>
    </row>
    <row r="5" spans="1:20" x14ac:dyDescent="0.25">
      <c r="A5" s="93" t="s">
        <v>27</v>
      </c>
      <c r="B5" s="93"/>
      <c r="C5" s="93"/>
      <c r="D5" s="93"/>
      <c r="E5" s="94"/>
      <c r="F5" s="95" t="s">
        <v>23</v>
      </c>
      <c r="G5" s="93"/>
      <c r="H5" s="93"/>
      <c r="I5" s="93"/>
      <c r="J5" s="93"/>
      <c r="K5" s="93"/>
      <c r="L5" s="93"/>
      <c r="M5" s="93"/>
      <c r="N5" s="93"/>
      <c r="O5" s="94"/>
      <c r="P5" s="78" t="s">
        <v>25</v>
      </c>
      <c r="Q5" s="78"/>
      <c r="R5" s="78"/>
      <c r="S5" s="78"/>
      <c r="T5" s="78"/>
    </row>
    <row r="6" spans="1:20" ht="60" customHeight="1" x14ac:dyDescent="0.25">
      <c r="A6" s="79" t="s">
        <v>1</v>
      </c>
      <c r="B6" s="79" t="s">
        <v>13</v>
      </c>
      <c r="C6" s="81" t="s">
        <v>0</v>
      </c>
      <c r="D6" s="79" t="s">
        <v>2</v>
      </c>
      <c r="E6" s="83" t="s">
        <v>17</v>
      </c>
      <c r="F6" s="85" t="s">
        <v>6</v>
      </c>
      <c r="G6" s="86"/>
      <c r="H6" s="86" t="s">
        <v>18</v>
      </c>
      <c r="I6" s="86"/>
      <c r="J6" s="86" t="s">
        <v>19</v>
      </c>
      <c r="K6" s="87"/>
      <c r="L6" s="86" t="s">
        <v>20</v>
      </c>
      <c r="M6" s="86"/>
      <c r="N6" s="86" t="s">
        <v>21</v>
      </c>
      <c r="O6" s="87"/>
      <c r="P6" s="88" t="s">
        <v>26</v>
      </c>
      <c r="Q6" s="79"/>
      <c r="R6" s="79"/>
      <c r="S6" s="79"/>
      <c r="T6" s="79"/>
    </row>
    <row r="7" spans="1:20" ht="42.75" customHeight="1" x14ac:dyDescent="0.25">
      <c r="A7" s="80"/>
      <c r="B7" s="80"/>
      <c r="C7" s="82"/>
      <c r="D7" s="80"/>
      <c r="E7" s="84"/>
      <c r="F7" s="90" t="s">
        <v>202</v>
      </c>
      <c r="G7" s="91"/>
      <c r="H7" s="91" t="s">
        <v>206</v>
      </c>
      <c r="I7" s="91"/>
      <c r="J7" s="91" t="s">
        <v>210</v>
      </c>
      <c r="K7" s="92"/>
      <c r="L7" s="91"/>
      <c r="M7" s="91"/>
      <c r="N7" s="91"/>
      <c r="O7" s="92"/>
      <c r="P7" s="89"/>
      <c r="Q7" s="78"/>
      <c r="R7" s="78"/>
      <c r="S7" s="78"/>
      <c r="T7" s="78"/>
    </row>
    <row r="8" spans="1:20" s="4" customFormat="1" ht="25.5" x14ac:dyDescent="0.25">
      <c r="A8" s="80"/>
      <c r="B8" s="80"/>
      <c r="C8" s="82"/>
      <c r="D8" s="80"/>
      <c r="E8" s="18" t="s">
        <v>3</v>
      </c>
      <c r="F8" s="19" t="s">
        <v>15</v>
      </c>
      <c r="G8" s="29" t="s">
        <v>16</v>
      </c>
      <c r="H8" s="29" t="s">
        <v>15</v>
      </c>
      <c r="I8" s="29" t="s">
        <v>16</v>
      </c>
      <c r="J8" s="29" t="s">
        <v>15</v>
      </c>
      <c r="K8" s="21" t="s">
        <v>16</v>
      </c>
      <c r="L8" s="29" t="s">
        <v>15</v>
      </c>
      <c r="M8" s="29" t="s">
        <v>16</v>
      </c>
      <c r="N8" s="29" t="s">
        <v>15</v>
      </c>
      <c r="O8" s="21" t="s">
        <v>16</v>
      </c>
      <c r="P8" s="22" t="s">
        <v>24</v>
      </c>
      <c r="Q8" s="22" t="s">
        <v>5</v>
      </c>
      <c r="R8" s="22" t="s">
        <v>8</v>
      </c>
      <c r="S8" s="22" t="s">
        <v>9</v>
      </c>
      <c r="T8" s="20" t="s">
        <v>14</v>
      </c>
    </row>
    <row r="9" spans="1:20" hidden="1" x14ac:dyDescent="0.25">
      <c r="A9" s="11" t="s">
        <v>59</v>
      </c>
      <c r="B9" s="11" t="s">
        <v>60</v>
      </c>
      <c r="C9" s="14" t="s">
        <v>61</v>
      </c>
      <c r="D9" s="11" t="s">
        <v>62</v>
      </c>
      <c r="E9" s="8" t="s">
        <v>63</v>
      </c>
      <c r="F9" s="9" t="s">
        <v>64</v>
      </c>
      <c r="G9" s="6" t="s">
        <v>65</v>
      </c>
      <c r="H9" s="6" t="s">
        <v>66</v>
      </c>
      <c r="I9" s="6" t="s">
        <v>67</v>
      </c>
      <c r="J9" s="6" t="s">
        <v>68</v>
      </c>
      <c r="K9" s="7" t="s">
        <v>69</v>
      </c>
      <c r="L9" s="6" t="s">
        <v>70</v>
      </c>
      <c r="M9" s="6" t="s">
        <v>71</v>
      </c>
      <c r="N9" s="6" t="s">
        <v>72</v>
      </c>
      <c r="O9" s="7" t="s">
        <v>73</v>
      </c>
      <c r="P9" s="13" t="s">
        <v>74</v>
      </c>
      <c r="Q9" s="5" t="s">
        <v>75</v>
      </c>
      <c r="R9" s="1" t="s">
        <v>76</v>
      </c>
      <c r="S9" s="1" t="s">
        <v>77</v>
      </c>
      <c r="T9" s="12" t="s">
        <v>78</v>
      </c>
    </row>
    <row r="10" spans="1:20" ht="25.5" x14ac:dyDescent="0.25">
      <c r="A10" s="11">
        <v>1</v>
      </c>
      <c r="B10" s="11" t="s">
        <v>214</v>
      </c>
      <c r="C10" s="14" t="s">
        <v>180</v>
      </c>
      <c r="D10" s="11" t="s">
        <v>4</v>
      </c>
      <c r="E10" s="8">
        <v>2</v>
      </c>
      <c r="F10" s="9">
        <v>11618.21</v>
      </c>
      <c r="G10" s="6">
        <f t="shared" ref="G10:G31" si="0">F10*$E10</f>
        <v>23236.42</v>
      </c>
      <c r="H10" s="6">
        <v>9700</v>
      </c>
      <c r="I10" s="6">
        <f t="shared" ref="I10:I31" si="1">H10*$E10</f>
        <v>19400</v>
      </c>
      <c r="J10" s="6">
        <v>9510</v>
      </c>
      <c r="K10" s="7">
        <f t="shared" ref="K10:K31" si="2">J10*$E10</f>
        <v>19020</v>
      </c>
      <c r="L10" s="6"/>
      <c r="M10" s="6">
        <f t="shared" ref="M10:M18" si="3">L10*$E10</f>
        <v>0</v>
      </c>
      <c r="N10" s="6"/>
      <c r="O10" s="7">
        <f t="shared" ref="O10:O18" si="4">N10*$E10</f>
        <v>0</v>
      </c>
      <c r="P10" s="13">
        <f>MEDIAN(J10,H10,F10,L10,N10)</f>
        <v>9700</v>
      </c>
      <c r="Q10" s="5" t="str">
        <f t="shared" ref="Q10:Q18" si="5">_xlfn.XLOOKUP(P10,F10:O10,$F$7:$O$7)</f>
        <v>V E GOMES ARAUJO EIRELI (MT SANEAMENTO)</v>
      </c>
      <c r="R10" s="1" t="str">
        <f>_xlfn.XLOOKUP(Q10,'RELAÇÃO DE FORNECEDORES'!$A$3:$A$287,'RELAÇÃO DE FORNECEDORES'!$B$3:$B$287)</f>
        <v>20.775.930/0001-24</v>
      </c>
      <c r="S10" s="1" t="str">
        <f>_xlfn.XLOOKUP(Q10,'RELAÇÃO DE FORNECEDORES'!$A$3:$A$287,'RELAÇÃO DE FORNECEDORES'!$E$3:$E$287)</f>
        <v>VICTOR ARAUJO</v>
      </c>
      <c r="T10" s="12">
        <f>_xlfn.XLOOKUP(Q10,'RELAÇÃO DE FORNECEDORES'!$A$3:$A$287,'RELAÇÃO DE FORNECEDORES'!$C$3:$C$287)</f>
        <v>44547</v>
      </c>
    </row>
    <row r="11" spans="1:20" ht="25.5" x14ac:dyDescent="0.25">
      <c r="A11" s="11">
        <v>2</v>
      </c>
      <c r="B11" s="11" t="s">
        <v>215</v>
      </c>
      <c r="C11" s="14" t="s">
        <v>181</v>
      </c>
      <c r="D11" s="11" t="s">
        <v>4</v>
      </c>
      <c r="E11" s="8">
        <v>2</v>
      </c>
      <c r="F11" s="9">
        <v>3688.05</v>
      </c>
      <c r="G11" s="6">
        <f t="shared" si="0"/>
        <v>7376.1</v>
      </c>
      <c r="H11" s="6">
        <v>5600</v>
      </c>
      <c r="I11" s="6">
        <f t="shared" si="1"/>
        <v>11200</v>
      </c>
      <c r="J11" s="6">
        <v>3835</v>
      </c>
      <c r="K11" s="7">
        <f t="shared" si="2"/>
        <v>7670</v>
      </c>
      <c r="L11" s="6"/>
      <c r="M11" s="6">
        <f t="shared" si="3"/>
        <v>0</v>
      </c>
      <c r="N11" s="6"/>
      <c r="O11" s="7">
        <f t="shared" si="4"/>
        <v>0</v>
      </c>
      <c r="P11" s="13">
        <f t="shared" ref="P11:P18" si="6">MEDIAN(J11,H11,F11,L11,N11)</f>
        <v>3835</v>
      </c>
      <c r="Q11" s="5" t="str">
        <f t="shared" si="5"/>
        <v>DTS SANEAMENTO VÁLVULAS E CONEXÕES LTDA</v>
      </c>
      <c r="R11" s="1" t="str">
        <f>_xlfn.XLOOKUP(Q11,'RELAÇÃO DE FORNECEDORES'!$A$3:$A$287,'RELAÇÃO DE FORNECEDORES'!$B$3:$B$287)</f>
        <v>30.194.330/0001-26</v>
      </c>
      <c r="S11" s="1" t="str">
        <f>_xlfn.XLOOKUP(Q11,'RELAÇÃO DE FORNECEDORES'!$A$3:$A$287,'RELAÇÃO DE FORNECEDORES'!$E$3:$E$287)</f>
        <v>GILVAN MARTINS</v>
      </c>
      <c r="T11" s="12">
        <f>_xlfn.XLOOKUP(Q11,'RELAÇÃO DE FORNECEDORES'!$A$3:$A$287,'RELAÇÃO DE FORNECEDORES'!$C$3:$C$287)</f>
        <v>44546</v>
      </c>
    </row>
    <row r="12" spans="1:20" ht="25.5" x14ac:dyDescent="0.25">
      <c r="A12" s="11">
        <v>3</v>
      </c>
      <c r="B12" s="11" t="s">
        <v>216</v>
      </c>
      <c r="C12" s="14" t="s">
        <v>182</v>
      </c>
      <c r="D12" s="11" t="s">
        <v>4</v>
      </c>
      <c r="E12" s="8">
        <v>2</v>
      </c>
      <c r="F12" s="9">
        <v>5918.94</v>
      </c>
      <c r="G12" s="6">
        <f t="shared" si="0"/>
        <v>11837.88</v>
      </c>
      <c r="H12" s="6">
        <v>9200</v>
      </c>
      <c r="I12" s="6">
        <f t="shared" si="1"/>
        <v>18400</v>
      </c>
      <c r="J12" s="6">
        <v>6177</v>
      </c>
      <c r="K12" s="7">
        <f t="shared" si="2"/>
        <v>12354</v>
      </c>
      <c r="L12" s="6"/>
      <c r="M12" s="6">
        <f t="shared" si="3"/>
        <v>0</v>
      </c>
      <c r="N12" s="6"/>
      <c r="O12" s="7">
        <f t="shared" si="4"/>
        <v>0</v>
      </c>
      <c r="P12" s="13">
        <f t="shared" si="6"/>
        <v>6177</v>
      </c>
      <c r="Q12" s="5" t="str">
        <f t="shared" si="5"/>
        <v>DTS SANEAMENTO VÁLVULAS E CONEXÕES LTDA</v>
      </c>
      <c r="R12" s="1" t="str">
        <f>_xlfn.XLOOKUP(Q12,'RELAÇÃO DE FORNECEDORES'!$A$3:$A$287,'RELAÇÃO DE FORNECEDORES'!$B$3:$B$287)</f>
        <v>30.194.330/0001-26</v>
      </c>
      <c r="S12" s="1" t="str">
        <f>_xlfn.XLOOKUP(Q12,'RELAÇÃO DE FORNECEDORES'!$A$3:$A$287,'RELAÇÃO DE FORNECEDORES'!$E$3:$E$287)</f>
        <v>GILVAN MARTINS</v>
      </c>
      <c r="T12" s="12">
        <f>_xlfn.XLOOKUP(Q12,'RELAÇÃO DE FORNECEDORES'!$A$3:$A$287,'RELAÇÃO DE FORNECEDORES'!$C$3:$C$287)</f>
        <v>44546</v>
      </c>
    </row>
    <row r="13" spans="1:20" ht="38.25" x14ac:dyDescent="0.25">
      <c r="A13" s="11">
        <v>4</v>
      </c>
      <c r="B13" s="11" t="s">
        <v>217</v>
      </c>
      <c r="C13" s="14" t="s">
        <v>183</v>
      </c>
      <c r="D13" s="11" t="s">
        <v>4</v>
      </c>
      <c r="E13" s="8">
        <v>2</v>
      </c>
      <c r="F13" s="9">
        <v>5065.88</v>
      </c>
      <c r="G13" s="6">
        <f t="shared" si="0"/>
        <v>10131.76</v>
      </c>
      <c r="H13" s="6">
        <v>3112</v>
      </c>
      <c r="I13" s="6">
        <f t="shared" si="1"/>
        <v>6224</v>
      </c>
      <c r="J13" s="6">
        <v>4622</v>
      </c>
      <c r="K13" s="7">
        <f t="shared" si="2"/>
        <v>9244</v>
      </c>
      <c r="L13" s="6"/>
      <c r="M13" s="6">
        <f t="shared" si="3"/>
        <v>0</v>
      </c>
      <c r="N13" s="6"/>
      <c r="O13" s="7">
        <f t="shared" si="4"/>
        <v>0</v>
      </c>
      <c r="P13" s="13">
        <f t="shared" si="6"/>
        <v>4622</v>
      </c>
      <c r="Q13" s="5" t="str">
        <f t="shared" si="5"/>
        <v>DTS SANEAMENTO VÁLVULAS E CONEXÕES LTDA</v>
      </c>
      <c r="R13" s="1" t="str">
        <f>_xlfn.XLOOKUP(Q13,'RELAÇÃO DE FORNECEDORES'!$A$3:$A$287,'RELAÇÃO DE FORNECEDORES'!$B$3:$B$287)</f>
        <v>30.194.330/0001-26</v>
      </c>
      <c r="S13" s="1" t="str">
        <f>_xlfn.XLOOKUP(Q13,'RELAÇÃO DE FORNECEDORES'!$A$3:$A$287,'RELAÇÃO DE FORNECEDORES'!$E$3:$E$287)</f>
        <v>GILVAN MARTINS</v>
      </c>
      <c r="T13" s="12">
        <f>_xlfn.XLOOKUP(Q13,'RELAÇÃO DE FORNECEDORES'!$A$3:$A$287,'RELAÇÃO DE FORNECEDORES'!$C$3:$C$287)</f>
        <v>44546</v>
      </c>
    </row>
    <row r="14" spans="1:20" ht="38.25" x14ac:dyDescent="0.25">
      <c r="A14" s="11">
        <v>5</v>
      </c>
      <c r="B14" s="11" t="s">
        <v>218</v>
      </c>
      <c r="C14" s="14" t="s">
        <v>184</v>
      </c>
      <c r="D14" s="11" t="s">
        <v>4</v>
      </c>
      <c r="E14" s="8">
        <v>2</v>
      </c>
      <c r="F14" s="9">
        <v>1806.19</v>
      </c>
      <c r="G14" s="6">
        <f t="shared" si="0"/>
        <v>3612.38</v>
      </c>
      <c r="H14" s="6">
        <v>2000</v>
      </c>
      <c r="I14" s="6">
        <f t="shared" si="1"/>
        <v>4000</v>
      </c>
      <c r="J14" s="6">
        <v>2274</v>
      </c>
      <c r="K14" s="7">
        <f t="shared" si="2"/>
        <v>4548</v>
      </c>
      <c r="L14" s="6"/>
      <c r="M14" s="6">
        <f t="shared" si="3"/>
        <v>0</v>
      </c>
      <c r="N14" s="6"/>
      <c r="O14" s="7">
        <f t="shared" si="4"/>
        <v>0</v>
      </c>
      <c r="P14" s="13">
        <f t="shared" si="6"/>
        <v>2000</v>
      </c>
      <c r="Q14" s="5" t="str">
        <f t="shared" si="5"/>
        <v>V E GOMES ARAUJO EIRELI (MT SANEAMENTO)</v>
      </c>
      <c r="R14" s="1" t="str">
        <f>_xlfn.XLOOKUP(Q14,'RELAÇÃO DE FORNECEDORES'!$A$3:$A$287,'RELAÇÃO DE FORNECEDORES'!$B$3:$B$287)</f>
        <v>20.775.930/0001-24</v>
      </c>
      <c r="S14" s="1" t="str">
        <f>_xlfn.XLOOKUP(Q14,'RELAÇÃO DE FORNECEDORES'!$A$3:$A$287,'RELAÇÃO DE FORNECEDORES'!$E$3:$E$287)</f>
        <v>VICTOR ARAUJO</v>
      </c>
      <c r="T14" s="12">
        <f>_xlfn.XLOOKUP(Q14,'RELAÇÃO DE FORNECEDORES'!$A$3:$A$287,'RELAÇÃO DE FORNECEDORES'!$C$3:$C$287)</f>
        <v>44547</v>
      </c>
    </row>
    <row r="15" spans="1:20" ht="25.5" x14ac:dyDescent="0.25">
      <c r="A15" s="11">
        <v>6</v>
      </c>
      <c r="B15" s="11" t="s">
        <v>219</v>
      </c>
      <c r="C15" s="14" t="s">
        <v>185</v>
      </c>
      <c r="D15" s="11" t="s">
        <v>4</v>
      </c>
      <c r="E15" s="8">
        <v>4</v>
      </c>
      <c r="F15" s="9">
        <v>1515.74</v>
      </c>
      <c r="G15" s="6">
        <f t="shared" si="0"/>
        <v>6062.96</v>
      </c>
      <c r="H15" s="6">
        <v>1882</v>
      </c>
      <c r="I15" s="6">
        <f t="shared" si="1"/>
        <v>7528</v>
      </c>
      <c r="J15" s="6">
        <v>1750</v>
      </c>
      <c r="K15" s="7">
        <f t="shared" si="2"/>
        <v>7000</v>
      </c>
      <c r="L15" s="6"/>
      <c r="M15" s="6">
        <f t="shared" si="3"/>
        <v>0</v>
      </c>
      <c r="N15" s="6"/>
      <c r="O15" s="7">
        <f t="shared" si="4"/>
        <v>0</v>
      </c>
      <c r="P15" s="13">
        <f t="shared" si="6"/>
        <v>1750</v>
      </c>
      <c r="Q15" s="5" t="str">
        <f t="shared" si="5"/>
        <v>DTS SANEAMENTO VÁLVULAS E CONEXÕES LTDA</v>
      </c>
      <c r="R15" s="1" t="str">
        <f>_xlfn.XLOOKUP(Q15,'RELAÇÃO DE FORNECEDORES'!$A$3:$A$287,'RELAÇÃO DE FORNECEDORES'!$B$3:$B$287)</f>
        <v>30.194.330/0001-26</v>
      </c>
      <c r="S15" s="1" t="str">
        <f>_xlfn.XLOOKUP(Q15,'RELAÇÃO DE FORNECEDORES'!$A$3:$A$287,'RELAÇÃO DE FORNECEDORES'!$E$3:$E$287)</f>
        <v>GILVAN MARTINS</v>
      </c>
      <c r="T15" s="12">
        <f>_xlfn.XLOOKUP(Q15,'RELAÇÃO DE FORNECEDORES'!$A$3:$A$287,'RELAÇÃO DE FORNECEDORES'!$C$3:$C$287)</f>
        <v>44546</v>
      </c>
    </row>
    <row r="16" spans="1:20" ht="38.25" x14ac:dyDescent="0.25">
      <c r="A16" s="11">
        <v>7</v>
      </c>
      <c r="B16" s="11" t="s">
        <v>220</v>
      </c>
      <c r="C16" s="14" t="s">
        <v>186</v>
      </c>
      <c r="D16" s="11" t="s">
        <v>4</v>
      </c>
      <c r="E16" s="8">
        <v>2</v>
      </c>
      <c r="F16" s="9">
        <v>3658.76</v>
      </c>
      <c r="G16" s="6">
        <f t="shared" si="0"/>
        <v>7317.52</v>
      </c>
      <c r="H16" s="6">
        <v>3350</v>
      </c>
      <c r="I16" s="6">
        <f t="shared" si="1"/>
        <v>6700</v>
      </c>
      <c r="J16" s="6">
        <v>2390</v>
      </c>
      <c r="K16" s="7">
        <f t="shared" si="2"/>
        <v>4780</v>
      </c>
      <c r="L16" s="6"/>
      <c r="M16" s="6">
        <f t="shared" si="3"/>
        <v>0</v>
      </c>
      <c r="N16" s="6"/>
      <c r="O16" s="7">
        <f t="shared" si="4"/>
        <v>0</v>
      </c>
      <c r="P16" s="13">
        <f t="shared" si="6"/>
        <v>3350</v>
      </c>
      <c r="Q16" s="5" t="str">
        <f t="shared" si="5"/>
        <v>V E GOMES ARAUJO EIRELI (MT SANEAMENTO)</v>
      </c>
      <c r="R16" s="1" t="str">
        <f>_xlfn.XLOOKUP(Q16,'RELAÇÃO DE FORNECEDORES'!$A$3:$A$287,'RELAÇÃO DE FORNECEDORES'!$B$3:$B$287)</f>
        <v>20.775.930/0001-24</v>
      </c>
      <c r="S16" s="1" t="str">
        <f>_xlfn.XLOOKUP(Q16,'RELAÇÃO DE FORNECEDORES'!$A$3:$A$287,'RELAÇÃO DE FORNECEDORES'!$E$3:$E$287)</f>
        <v>VICTOR ARAUJO</v>
      </c>
      <c r="T16" s="12">
        <f>_xlfn.XLOOKUP(Q16,'RELAÇÃO DE FORNECEDORES'!$A$3:$A$287,'RELAÇÃO DE FORNECEDORES'!$C$3:$C$287)</f>
        <v>44547</v>
      </c>
    </row>
    <row r="17" spans="1:20" ht="38.25" x14ac:dyDescent="0.25">
      <c r="A17" s="11">
        <v>8</v>
      </c>
      <c r="B17" s="11" t="s">
        <v>221</v>
      </c>
      <c r="C17" s="14" t="s">
        <v>187</v>
      </c>
      <c r="D17" s="11" t="s">
        <v>4</v>
      </c>
      <c r="E17" s="8">
        <v>2</v>
      </c>
      <c r="F17" s="9">
        <v>22854.43</v>
      </c>
      <c r="G17" s="6">
        <f t="shared" si="0"/>
        <v>45708.86</v>
      </c>
      <c r="H17" s="6">
        <v>17150</v>
      </c>
      <c r="I17" s="6">
        <f t="shared" si="1"/>
        <v>34300</v>
      </c>
      <c r="J17" s="6">
        <v>7242</v>
      </c>
      <c r="K17" s="7">
        <f t="shared" si="2"/>
        <v>14484</v>
      </c>
      <c r="L17" s="6"/>
      <c r="M17" s="6">
        <f t="shared" si="3"/>
        <v>0</v>
      </c>
      <c r="N17" s="6"/>
      <c r="O17" s="7">
        <f t="shared" si="4"/>
        <v>0</v>
      </c>
      <c r="P17" s="13">
        <f t="shared" si="6"/>
        <v>17150</v>
      </c>
      <c r="Q17" s="5" t="str">
        <f t="shared" si="5"/>
        <v>V E GOMES ARAUJO EIRELI (MT SANEAMENTO)</v>
      </c>
      <c r="R17" s="1" t="str">
        <f>_xlfn.XLOOKUP(Q17,'RELAÇÃO DE FORNECEDORES'!$A$3:$A$287,'RELAÇÃO DE FORNECEDORES'!$B$3:$B$287)</f>
        <v>20.775.930/0001-24</v>
      </c>
      <c r="S17" s="1" t="str">
        <f>_xlfn.XLOOKUP(Q17,'RELAÇÃO DE FORNECEDORES'!$A$3:$A$287,'RELAÇÃO DE FORNECEDORES'!$E$3:$E$287)</f>
        <v>VICTOR ARAUJO</v>
      </c>
      <c r="T17" s="12">
        <f>_xlfn.XLOOKUP(Q17,'RELAÇÃO DE FORNECEDORES'!$A$3:$A$287,'RELAÇÃO DE FORNECEDORES'!$C$3:$C$287)</f>
        <v>44547</v>
      </c>
    </row>
    <row r="18" spans="1:20" ht="25.5" x14ac:dyDescent="0.25">
      <c r="A18" s="11">
        <v>9</v>
      </c>
      <c r="B18" s="11" t="s">
        <v>222</v>
      </c>
      <c r="C18" s="14" t="s">
        <v>188</v>
      </c>
      <c r="D18" s="11" t="s">
        <v>4</v>
      </c>
      <c r="E18" s="8">
        <v>3</v>
      </c>
      <c r="F18" s="9">
        <v>3739.31</v>
      </c>
      <c r="G18" s="6">
        <f t="shared" si="0"/>
        <v>11217.93</v>
      </c>
      <c r="H18" s="6">
        <v>3250</v>
      </c>
      <c r="I18" s="6">
        <f t="shared" si="1"/>
        <v>9750</v>
      </c>
      <c r="J18" s="6">
        <v>3115</v>
      </c>
      <c r="K18" s="7">
        <f t="shared" si="2"/>
        <v>9345</v>
      </c>
      <c r="L18" s="6"/>
      <c r="M18" s="6">
        <f t="shared" si="3"/>
        <v>0</v>
      </c>
      <c r="N18" s="6"/>
      <c r="O18" s="7">
        <f t="shared" si="4"/>
        <v>0</v>
      </c>
      <c r="P18" s="13">
        <f t="shared" si="6"/>
        <v>3250</v>
      </c>
      <c r="Q18" s="5" t="str">
        <f t="shared" si="5"/>
        <v>V E GOMES ARAUJO EIRELI (MT SANEAMENTO)</v>
      </c>
      <c r="R18" s="1" t="str">
        <f>_xlfn.XLOOKUP(Q18,'RELAÇÃO DE FORNECEDORES'!$A$3:$A$287,'RELAÇÃO DE FORNECEDORES'!$B$3:$B$287)</f>
        <v>20.775.930/0001-24</v>
      </c>
      <c r="S18" s="1" t="str">
        <f>_xlfn.XLOOKUP(Q18,'RELAÇÃO DE FORNECEDORES'!$A$3:$A$287,'RELAÇÃO DE FORNECEDORES'!$E$3:$E$287)</f>
        <v>VICTOR ARAUJO</v>
      </c>
      <c r="T18" s="12">
        <f>_xlfn.XLOOKUP(Q18,'RELAÇÃO DE FORNECEDORES'!$A$3:$A$287,'RELAÇÃO DE FORNECEDORES'!$C$3:$C$287)</f>
        <v>44547</v>
      </c>
    </row>
    <row r="19" spans="1:20" ht="25.5" x14ac:dyDescent="0.25">
      <c r="A19" s="11">
        <v>10</v>
      </c>
      <c r="B19" s="11" t="s">
        <v>223</v>
      </c>
      <c r="C19" s="14" t="s">
        <v>189</v>
      </c>
      <c r="D19" s="11" t="s">
        <v>4</v>
      </c>
      <c r="E19" s="8">
        <v>1</v>
      </c>
      <c r="F19" s="9">
        <v>5252.6</v>
      </c>
      <c r="G19" s="6">
        <f t="shared" si="0"/>
        <v>5252.6</v>
      </c>
      <c r="H19" s="6">
        <v>5000</v>
      </c>
      <c r="I19" s="6">
        <f t="shared" si="1"/>
        <v>5000</v>
      </c>
      <c r="J19" s="6">
        <v>4375</v>
      </c>
      <c r="K19" s="7">
        <f t="shared" si="2"/>
        <v>4375</v>
      </c>
      <c r="L19" s="6"/>
      <c r="M19" s="6">
        <f>L19*$E19</f>
        <v>0</v>
      </c>
      <c r="N19" s="6"/>
      <c r="O19" s="7">
        <f>N19*$E19</f>
        <v>0</v>
      </c>
      <c r="P19" s="13">
        <f>MEDIAN(J19,H19,F19,L19,N19)</f>
        <v>5000</v>
      </c>
      <c r="Q19" s="5" t="str">
        <f>_xlfn.XLOOKUP(P19,F19:O19,$F$7:$O$7)</f>
        <v>V E GOMES ARAUJO EIRELI (MT SANEAMENTO)</v>
      </c>
      <c r="R19" s="1" t="str">
        <f>_xlfn.XLOOKUP(Q19,'RELAÇÃO DE FORNECEDORES'!$A$3:$A$287,'RELAÇÃO DE FORNECEDORES'!$B$3:$B$287)</f>
        <v>20.775.930/0001-24</v>
      </c>
      <c r="S19" s="1" t="str">
        <f>_xlfn.XLOOKUP(Q19,'RELAÇÃO DE FORNECEDORES'!$A$3:$A$287,'RELAÇÃO DE FORNECEDORES'!$E$3:$E$287)</f>
        <v>VICTOR ARAUJO</v>
      </c>
      <c r="T19" s="12">
        <f>_xlfn.XLOOKUP(Q19,'RELAÇÃO DE FORNECEDORES'!$A$3:$A$287,'RELAÇÃO DE FORNECEDORES'!$C$3:$C$287)</f>
        <v>44547</v>
      </c>
    </row>
    <row r="20" spans="1:20" ht="25.5" x14ac:dyDescent="0.25">
      <c r="A20" s="11">
        <v>11</v>
      </c>
      <c r="B20" s="11" t="s">
        <v>224</v>
      </c>
      <c r="C20" s="14" t="s">
        <v>190</v>
      </c>
      <c r="D20" s="11" t="s">
        <v>4</v>
      </c>
      <c r="E20" s="8">
        <v>1</v>
      </c>
      <c r="F20" s="9">
        <v>6055.62</v>
      </c>
      <c r="G20" s="6">
        <f t="shared" si="0"/>
        <v>6055.62</v>
      </c>
      <c r="H20" s="6">
        <v>9850</v>
      </c>
      <c r="I20" s="6">
        <f t="shared" si="1"/>
        <v>9850</v>
      </c>
      <c r="J20" s="6">
        <v>6698.4</v>
      </c>
      <c r="K20" s="7">
        <f t="shared" si="2"/>
        <v>6698.4</v>
      </c>
      <c r="L20" s="6"/>
      <c r="M20" s="6">
        <f>L20*$E20</f>
        <v>0</v>
      </c>
      <c r="N20" s="6"/>
      <c r="O20" s="7">
        <f>N20*$E20</f>
        <v>0</v>
      </c>
      <c r="P20" s="13">
        <f>MEDIAN(J20,H20,F20,L20,N20)</f>
        <v>6698.4</v>
      </c>
      <c r="Q20" s="5" t="str">
        <f>_xlfn.XLOOKUP(P20,F20:O20,$F$7:$O$7)</f>
        <v>DTS SANEAMENTO VÁLVULAS E CONEXÕES LTDA</v>
      </c>
      <c r="R20" s="1" t="str">
        <f>_xlfn.XLOOKUP(Q20,'RELAÇÃO DE FORNECEDORES'!$A$3:$A$287,'RELAÇÃO DE FORNECEDORES'!$B$3:$B$287)</f>
        <v>30.194.330/0001-26</v>
      </c>
      <c r="S20" s="1" t="str">
        <f>_xlfn.XLOOKUP(Q20,'RELAÇÃO DE FORNECEDORES'!$A$3:$A$287,'RELAÇÃO DE FORNECEDORES'!$E$3:$E$287)</f>
        <v>GILVAN MARTINS</v>
      </c>
      <c r="T20" s="12">
        <f>_xlfn.XLOOKUP(Q20,'RELAÇÃO DE FORNECEDORES'!$A$3:$A$287,'RELAÇÃO DE FORNECEDORES'!$C$3:$C$287)</f>
        <v>44546</v>
      </c>
    </row>
    <row r="21" spans="1:20" ht="25.5" x14ac:dyDescent="0.25">
      <c r="A21" s="11">
        <v>12</v>
      </c>
      <c r="B21" s="11" t="s">
        <v>225</v>
      </c>
      <c r="C21" s="14" t="s">
        <v>191</v>
      </c>
      <c r="D21" s="11" t="s">
        <v>4</v>
      </c>
      <c r="E21" s="8">
        <v>2</v>
      </c>
      <c r="F21" s="9">
        <v>17451.72</v>
      </c>
      <c r="G21" s="6">
        <f t="shared" si="0"/>
        <v>34903.440000000002</v>
      </c>
      <c r="H21" s="6">
        <v>5500</v>
      </c>
      <c r="I21" s="6">
        <f t="shared" si="1"/>
        <v>11000</v>
      </c>
      <c r="J21" s="6">
        <v>6794</v>
      </c>
      <c r="K21" s="7">
        <f t="shared" si="2"/>
        <v>13588</v>
      </c>
      <c r="L21" s="6"/>
      <c r="M21" s="6">
        <f>L21*$E21</f>
        <v>0</v>
      </c>
      <c r="N21" s="6"/>
      <c r="O21" s="7">
        <f>N21*$E21</f>
        <v>0</v>
      </c>
      <c r="P21" s="13">
        <f>MEDIAN(J21,H21,F21,L21,N21)</f>
        <v>6794</v>
      </c>
      <c r="Q21" s="5" t="str">
        <f>_xlfn.XLOOKUP(P21,F21:O21,$F$7:$O$7)</f>
        <v>DTS SANEAMENTO VÁLVULAS E CONEXÕES LTDA</v>
      </c>
      <c r="R21" s="1" t="str">
        <f>_xlfn.XLOOKUP(Q21,'RELAÇÃO DE FORNECEDORES'!$A$3:$A$287,'RELAÇÃO DE FORNECEDORES'!$B$3:$B$287)</f>
        <v>30.194.330/0001-26</v>
      </c>
      <c r="S21" s="1" t="str">
        <f>_xlfn.XLOOKUP(Q21,'RELAÇÃO DE FORNECEDORES'!$A$3:$A$287,'RELAÇÃO DE FORNECEDORES'!$E$3:$E$287)</f>
        <v>GILVAN MARTINS</v>
      </c>
      <c r="T21" s="12">
        <f>_xlfn.XLOOKUP(Q21,'RELAÇÃO DE FORNECEDORES'!$A$3:$A$287,'RELAÇÃO DE FORNECEDORES'!$C$3:$C$287)</f>
        <v>44546</v>
      </c>
    </row>
    <row r="22" spans="1:20" ht="25.5" x14ac:dyDescent="0.25">
      <c r="A22" s="11">
        <v>13</v>
      </c>
      <c r="B22" s="11" t="s">
        <v>226</v>
      </c>
      <c r="C22" s="14" t="s">
        <v>192</v>
      </c>
      <c r="D22" s="11" t="s">
        <v>4</v>
      </c>
      <c r="E22" s="8">
        <v>1</v>
      </c>
      <c r="F22" s="9">
        <v>1189.8900000000001</v>
      </c>
      <c r="G22" s="6">
        <f t="shared" si="0"/>
        <v>1189.8900000000001</v>
      </c>
      <c r="H22" s="6">
        <v>1700</v>
      </c>
      <c r="I22" s="6">
        <f t="shared" si="1"/>
        <v>1700</v>
      </c>
      <c r="J22" s="6">
        <v>1375.4</v>
      </c>
      <c r="K22" s="7">
        <f t="shared" si="2"/>
        <v>1375.4</v>
      </c>
      <c r="L22" s="6"/>
      <c r="M22" s="6">
        <f>L22*$E22</f>
        <v>0</v>
      </c>
      <c r="N22" s="6"/>
      <c r="O22" s="7">
        <f>N22*$E22</f>
        <v>0</v>
      </c>
      <c r="P22" s="13">
        <f>MEDIAN(J22,H22,F22,L22,N22)</f>
        <v>1375.4</v>
      </c>
      <c r="Q22" s="5" t="str">
        <f>_xlfn.XLOOKUP(P22,F22:O22,$F$7:$O$7)</f>
        <v>DTS SANEAMENTO VÁLVULAS E CONEXÕES LTDA</v>
      </c>
      <c r="R22" s="1" t="str">
        <f>_xlfn.XLOOKUP(Q22,'RELAÇÃO DE FORNECEDORES'!$A$3:$A$287,'RELAÇÃO DE FORNECEDORES'!$B$3:$B$287)</f>
        <v>30.194.330/0001-26</v>
      </c>
      <c r="S22" s="1" t="str">
        <f>_xlfn.XLOOKUP(Q22,'RELAÇÃO DE FORNECEDORES'!$A$3:$A$287,'RELAÇÃO DE FORNECEDORES'!$E$3:$E$287)</f>
        <v>GILVAN MARTINS</v>
      </c>
      <c r="T22" s="12">
        <f>_xlfn.XLOOKUP(Q22,'RELAÇÃO DE FORNECEDORES'!$A$3:$A$287,'RELAÇÃO DE FORNECEDORES'!$C$3:$C$287)</f>
        <v>44546</v>
      </c>
    </row>
    <row r="23" spans="1:20" x14ac:dyDescent="0.25">
      <c r="A23" s="11">
        <v>14</v>
      </c>
      <c r="B23" s="11" t="s">
        <v>227</v>
      </c>
      <c r="C23" s="14" t="s">
        <v>193</v>
      </c>
      <c r="D23" s="11" t="s">
        <v>4</v>
      </c>
      <c r="E23" s="8">
        <v>5</v>
      </c>
      <c r="F23" s="9">
        <v>29.11</v>
      </c>
      <c r="G23" s="6">
        <f t="shared" si="0"/>
        <v>145.55000000000001</v>
      </c>
      <c r="H23" s="6">
        <v>24</v>
      </c>
      <c r="I23" s="6">
        <f t="shared" si="1"/>
        <v>120</v>
      </c>
      <c r="J23" s="6">
        <v>42</v>
      </c>
      <c r="K23" s="7">
        <f t="shared" si="2"/>
        <v>210</v>
      </c>
      <c r="L23" s="6"/>
      <c r="M23" s="6">
        <f t="shared" ref="M23:M24" si="7">L23*$E23</f>
        <v>0</v>
      </c>
      <c r="N23" s="6"/>
      <c r="O23" s="7">
        <f t="shared" ref="O23:O24" si="8">N23*$E23</f>
        <v>0</v>
      </c>
      <c r="P23" s="13">
        <f t="shared" ref="P23:P24" si="9">MEDIAN(J23,H23,F23,L23,N23)</f>
        <v>29.11</v>
      </c>
      <c r="Q23" s="5" t="str">
        <f t="shared" ref="Q23:Q24" si="10">_xlfn.XLOOKUP(P23,F23:O23,$F$7:$O$7)</f>
        <v>ANGOLINI &amp; ANGOLINI LTDA</v>
      </c>
      <c r="R23" s="1" t="str">
        <f>_xlfn.XLOOKUP(Q23,'RELAÇÃO DE FORNECEDORES'!$A$3:$A$287,'RELAÇÃO DE FORNECEDORES'!$B$3:$B$287)</f>
        <v>44.829.653/0001-53</v>
      </c>
      <c r="S23" s="1" t="str">
        <f>_xlfn.XLOOKUP(Q23,'RELAÇÃO DE FORNECEDORES'!$A$3:$A$287,'RELAÇÃO DE FORNECEDORES'!$E$3:$E$287)</f>
        <v>ANTÔNIO CANDIDO</v>
      </c>
      <c r="T23" s="12">
        <f>_xlfn.XLOOKUP(Q23,'RELAÇÃO DE FORNECEDORES'!$A$3:$A$287,'RELAÇÃO DE FORNECEDORES'!$C$3:$C$287)</f>
        <v>44547</v>
      </c>
    </row>
    <row r="24" spans="1:20" ht="25.5" x14ac:dyDescent="0.25">
      <c r="A24" s="11">
        <v>15</v>
      </c>
      <c r="B24" s="11" t="s">
        <v>228</v>
      </c>
      <c r="C24" s="14" t="s">
        <v>194</v>
      </c>
      <c r="D24" s="11" t="s">
        <v>4</v>
      </c>
      <c r="E24" s="8">
        <v>9</v>
      </c>
      <c r="F24" s="9">
        <v>24.71</v>
      </c>
      <c r="G24" s="6">
        <f t="shared" si="0"/>
        <v>222.39000000000001</v>
      </c>
      <c r="H24" s="6">
        <v>18</v>
      </c>
      <c r="I24" s="6">
        <f t="shared" si="1"/>
        <v>162</v>
      </c>
      <c r="J24" s="6">
        <v>19.8</v>
      </c>
      <c r="K24" s="7">
        <f t="shared" si="2"/>
        <v>178.20000000000002</v>
      </c>
      <c r="L24" s="6"/>
      <c r="M24" s="6">
        <f t="shared" si="7"/>
        <v>0</v>
      </c>
      <c r="N24" s="6"/>
      <c r="O24" s="7">
        <f t="shared" si="8"/>
        <v>0</v>
      </c>
      <c r="P24" s="13">
        <f t="shared" si="9"/>
        <v>19.8</v>
      </c>
      <c r="Q24" s="5" t="str">
        <f t="shared" si="10"/>
        <v>DTS SANEAMENTO VÁLVULAS E CONEXÕES LTDA</v>
      </c>
      <c r="R24" s="1" t="str">
        <f>_xlfn.XLOOKUP(Q24,'RELAÇÃO DE FORNECEDORES'!$A$3:$A$287,'RELAÇÃO DE FORNECEDORES'!$B$3:$B$287)</f>
        <v>30.194.330/0001-26</v>
      </c>
      <c r="S24" s="1" t="str">
        <f>_xlfn.XLOOKUP(Q24,'RELAÇÃO DE FORNECEDORES'!$A$3:$A$287,'RELAÇÃO DE FORNECEDORES'!$E$3:$E$287)</f>
        <v>GILVAN MARTINS</v>
      </c>
      <c r="T24" s="12">
        <f>_xlfn.XLOOKUP(Q24,'RELAÇÃO DE FORNECEDORES'!$A$3:$A$287,'RELAÇÃO DE FORNECEDORES'!$C$3:$C$287)</f>
        <v>44546</v>
      </c>
    </row>
    <row r="25" spans="1:20" ht="25.5" x14ac:dyDescent="0.25">
      <c r="A25" s="11">
        <v>16</v>
      </c>
      <c r="B25" s="11" t="s">
        <v>229</v>
      </c>
      <c r="C25" s="14" t="s">
        <v>195</v>
      </c>
      <c r="D25" s="11" t="s">
        <v>4</v>
      </c>
      <c r="E25" s="8">
        <v>2</v>
      </c>
      <c r="F25" s="9">
        <v>13.36</v>
      </c>
      <c r="G25" s="6">
        <f t="shared" si="0"/>
        <v>26.72</v>
      </c>
      <c r="H25" s="6">
        <v>13</v>
      </c>
      <c r="I25" s="6">
        <f t="shared" si="1"/>
        <v>26</v>
      </c>
      <c r="J25" s="6">
        <v>12.6</v>
      </c>
      <c r="K25" s="7">
        <f t="shared" si="2"/>
        <v>25.2</v>
      </c>
      <c r="L25" s="6"/>
      <c r="M25" s="6">
        <f t="shared" ref="M25:M27" si="11">L25*$E25</f>
        <v>0</v>
      </c>
      <c r="N25" s="6"/>
      <c r="O25" s="7">
        <f t="shared" ref="O25:O27" si="12">N25*$E25</f>
        <v>0</v>
      </c>
      <c r="P25" s="13">
        <f t="shared" ref="P25:P27" si="13">MEDIAN(J25,H25,F25,L25,N25)</f>
        <v>13</v>
      </c>
      <c r="Q25" s="5" t="str">
        <f t="shared" ref="Q25:Q27" si="14">_xlfn.XLOOKUP(P25,F25:O25,$F$7:$O$7)</f>
        <v>V E GOMES ARAUJO EIRELI (MT SANEAMENTO)</v>
      </c>
      <c r="R25" s="1" t="str">
        <f>_xlfn.XLOOKUP(Q25,'RELAÇÃO DE FORNECEDORES'!$A$3:$A$287,'RELAÇÃO DE FORNECEDORES'!$B$3:$B$287)</f>
        <v>20.775.930/0001-24</v>
      </c>
      <c r="S25" s="1" t="str">
        <f>_xlfn.XLOOKUP(Q25,'RELAÇÃO DE FORNECEDORES'!$A$3:$A$287,'RELAÇÃO DE FORNECEDORES'!$E$3:$E$287)</f>
        <v>VICTOR ARAUJO</v>
      </c>
      <c r="T25" s="12">
        <f>_xlfn.XLOOKUP(Q25,'RELAÇÃO DE FORNECEDORES'!$A$3:$A$287,'RELAÇÃO DE FORNECEDORES'!$C$3:$C$287)</f>
        <v>44547</v>
      </c>
    </row>
    <row r="26" spans="1:20" ht="25.5" x14ac:dyDescent="0.25">
      <c r="A26" s="11">
        <v>17</v>
      </c>
      <c r="B26" s="11" t="s">
        <v>230</v>
      </c>
      <c r="C26" s="14" t="s">
        <v>196</v>
      </c>
      <c r="D26" s="11" t="s">
        <v>4</v>
      </c>
      <c r="E26" s="8">
        <v>2</v>
      </c>
      <c r="F26" s="9">
        <v>9.6999999999999993</v>
      </c>
      <c r="G26" s="6">
        <f t="shared" si="0"/>
        <v>19.399999999999999</v>
      </c>
      <c r="H26" s="6">
        <v>10</v>
      </c>
      <c r="I26" s="6">
        <f t="shared" si="1"/>
        <v>20</v>
      </c>
      <c r="J26" s="6">
        <v>10.5</v>
      </c>
      <c r="K26" s="7">
        <f t="shared" si="2"/>
        <v>21</v>
      </c>
      <c r="L26" s="6"/>
      <c r="M26" s="6">
        <f t="shared" si="11"/>
        <v>0</v>
      </c>
      <c r="N26" s="6"/>
      <c r="O26" s="7">
        <f t="shared" si="12"/>
        <v>0</v>
      </c>
      <c r="P26" s="13">
        <f t="shared" si="13"/>
        <v>10</v>
      </c>
      <c r="Q26" s="5" t="str">
        <f t="shared" si="14"/>
        <v>V E GOMES ARAUJO EIRELI (MT SANEAMENTO)</v>
      </c>
      <c r="R26" s="1" t="str">
        <f>_xlfn.XLOOKUP(Q26,'RELAÇÃO DE FORNECEDORES'!$A$3:$A$287,'RELAÇÃO DE FORNECEDORES'!$B$3:$B$287)</f>
        <v>20.775.930/0001-24</v>
      </c>
      <c r="S26" s="1" t="str">
        <f>_xlfn.XLOOKUP(Q26,'RELAÇÃO DE FORNECEDORES'!$A$3:$A$287,'RELAÇÃO DE FORNECEDORES'!$E$3:$E$287)</f>
        <v>VICTOR ARAUJO</v>
      </c>
      <c r="T26" s="12">
        <f>_xlfn.XLOOKUP(Q26,'RELAÇÃO DE FORNECEDORES'!$A$3:$A$287,'RELAÇÃO DE FORNECEDORES'!$C$3:$C$287)</f>
        <v>44547</v>
      </c>
    </row>
    <row r="27" spans="1:20" ht="38.25" x14ac:dyDescent="0.25">
      <c r="A27" s="11">
        <v>18</v>
      </c>
      <c r="B27" s="11" t="s">
        <v>231</v>
      </c>
      <c r="C27" s="14" t="s">
        <v>197</v>
      </c>
      <c r="D27" s="11" t="s">
        <v>4</v>
      </c>
      <c r="E27" s="8">
        <v>80</v>
      </c>
      <c r="F27" s="9">
        <v>32.71</v>
      </c>
      <c r="G27" s="6">
        <f t="shared" si="0"/>
        <v>2616.8000000000002</v>
      </c>
      <c r="H27" s="6">
        <v>36</v>
      </c>
      <c r="I27" s="6">
        <f t="shared" si="1"/>
        <v>2880</v>
      </c>
      <c r="J27" s="6">
        <v>28</v>
      </c>
      <c r="K27" s="7">
        <f t="shared" si="2"/>
        <v>2240</v>
      </c>
      <c r="L27" s="6"/>
      <c r="M27" s="6">
        <f t="shared" si="11"/>
        <v>0</v>
      </c>
      <c r="N27" s="6"/>
      <c r="O27" s="7">
        <f t="shared" si="12"/>
        <v>0</v>
      </c>
      <c r="P27" s="13">
        <f t="shared" si="13"/>
        <v>32.71</v>
      </c>
      <c r="Q27" s="5" t="str">
        <f t="shared" si="14"/>
        <v>ANGOLINI &amp; ANGOLINI LTDA</v>
      </c>
      <c r="R27" s="1" t="str">
        <f>_xlfn.XLOOKUP(Q27,'RELAÇÃO DE FORNECEDORES'!$A$3:$A$287,'RELAÇÃO DE FORNECEDORES'!$B$3:$B$287)</f>
        <v>44.829.653/0001-53</v>
      </c>
      <c r="S27" s="1" t="str">
        <f>_xlfn.XLOOKUP(Q27,'RELAÇÃO DE FORNECEDORES'!$A$3:$A$287,'RELAÇÃO DE FORNECEDORES'!$E$3:$E$287)</f>
        <v>ANTÔNIO CANDIDO</v>
      </c>
      <c r="T27" s="12">
        <f>_xlfn.XLOOKUP(Q27,'RELAÇÃO DE FORNECEDORES'!$A$3:$A$287,'RELAÇÃO DE FORNECEDORES'!$C$3:$C$287)</f>
        <v>44547</v>
      </c>
    </row>
    <row r="28" spans="1:20" ht="38.25" x14ac:dyDescent="0.25">
      <c r="A28" s="11">
        <v>19</v>
      </c>
      <c r="B28" s="11" t="s">
        <v>232</v>
      </c>
      <c r="C28" s="14" t="s">
        <v>198</v>
      </c>
      <c r="D28" s="11" t="s">
        <v>4</v>
      </c>
      <c r="E28" s="8">
        <v>144</v>
      </c>
      <c r="F28" s="9">
        <v>20.5</v>
      </c>
      <c r="G28" s="6">
        <f t="shared" si="0"/>
        <v>2952</v>
      </c>
      <c r="H28" s="6">
        <v>28</v>
      </c>
      <c r="I28" s="6">
        <f t="shared" si="1"/>
        <v>4032</v>
      </c>
      <c r="J28" s="6">
        <v>20.9</v>
      </c>
      <c r="K28" s="7">
        <f t="shared" si="2"/>
        <v>3009.6</v>
      </c>
      <c r="L28" s="6"/>
      <c r="M28" s="6">
        <f>L28*$E28</f>
        <v>0</v>
      </c>
      <c r="N28" s="6"/>
      <c r="O28" s="7">
        <f>N28*$E28</f>
        <v>0</v>
      </c>
      <c r="P28" s="13">
        <f>MEDIAN(J28,H28,F28,L28,N28)</f>
        <v>20.9</v>
      </c>
      <c r="Q28" s="5" t="str">
        <f>_xlfn.XLOOKUP(P28,F28:O28,$F$7:$O$7)</f>
        <v>DTS SANEAMENTO VÁLVULAS E CONEXÕES LTDA</v>
      </c>
      <c r="R28" s="1" t="str">
        <f>_xlfn.XLOOKUP(Q28,'RELAÇÃO DE FORNECEDORES'!$A$3:$A$287,'RELAÇÃO DE FORNECEDORES'!$B$3:$B$287)</f>
        <v>30.194.330/0001-26</v>
      </c>
      <c r="S28" s="1" t="str">
        <f>_xlfn.XLOOKUP(Q28,'RELAÇÃO DE FORNECEDORES'!$A$3:$A$287,'RELAÇÃO DE FORNECEDORES'!$E$3:$E$287)</f>
        <v>GILVAN MARTINS</v>
      </c>
      <c r="T28" s="12">
        <f>_xlfn.XLOOKUP(Q28,'RELAÇÃO DE FORNECEDORES'!$A$3:$A$287,'RELAÇÃO DE FORNECEDORES'!$C$3:$C$287)</f>
        <v>44546</v>
      </c>
    </row>
    <row r="29" spans="1:20" ht="25.5" x14ac:dyDescent="0.25">
      <c r="A29" s="11">
        <v>20</v>
      </c>
      <c r="B29" s="11" t="s">
        <v>233</v>
      </c>
      <c r="C29" s="14" t="s">
        <v>199</v>
      </c>
      <c r="D29" s="11" t="s">
        <v>4</v>
      </c>
      <c r="E29" s="8">
        <v>24</v>
      </c>
      <c r="F29" s="9">
        <v>19.53</v>
      </c>
      <c r="G29" s="6">
        <f t="shared" si="0"/>
        <v>468.72</v>
      </c>
      <c r="H29" s="6">
        <v>27</v>
      </c>
      <c r="I29" s="6">
        <f t="shared" si="1"/>
        <v>648</v>
      </c>
      <c r="J29" s="6">
        <v>19.8</v>
      </c>
      <c r="K29" s="7">
        <f t="shared" si="2"/>
        <v>475.20000000000005</v>
      </c>
      <c r="L29" s="6"/>
      <c r="M29" s="6">
        <f>L29*$E29</f>
        <v>0</v>
      </c>
      <c r="N29" s="6"/>
      <c r="O29" s="7">
        <f>N29*$E29</f>
        <v>0</v>
      </c>
      <c r="P29" s="13">
        <f>MEDIAN(J29,H29,F29,L29,N29)</f>
        <v>19.8</v>
      </c>
      <c r="Q29" s="5" t="str">
        <f>_xlfn.XLOOKUP(P29,F29:O29,$F$7:$O$7)</f>
        <v>DTS SANEAMENTO VÁLVULAS E CONEXÕES LTDA</v>
      </c>
      <c r="R29" s="1" t="str">
        <f>_xlfn.XLOOKUP(Q29,'RELAÇÃO DE FORNECEDORES'!$A$3:$A$287,'RELAÇÃO DE FORNECEDORES'!$B$3:$B$287)</f>
        <v>30.194.330/0001-26</v>
      </c>
      <c r="S29" s="1" t="str">
        <f>_xlfn.XLOOKUP(Q29,'RELAÇÃO DE FORNECEDORES'!$A$3:$A$287,'RELAÇÃO DE FORNECEDORES'!$E$3:$E$287)</f>
        <v>GILVAN MARTINS</v>
      </c>
      <c r="T29" s="12">
        <f>_xlfn.XLOOKUP(Q29,'RELAÇÃO DE FORNECEDORES'!$A$3:$A$287,'RELAÇÃO DE FORNECEDORES'!$C$3:$C$287)</f>
        <v>44546</v>
      </c>
    </row>
    <row r="30" spans="1:20" ht="38.25" x14ac:dyDescent="0.25">
      <c r="A30" s="11">
        <v>21</v>
      </c>
      <c r="B30" s="11" t="s">
        <v>234</v>
      </c>
      <c r="C30" s="14" t="s">
        <v>200</v>
      </c>
      <c r="D30" s="11" t="s">
        <v>4</v>
      </c>
      <c r="E30" s="8">
        <v>16</v>
      </c>
      <c r="F30" s="9">
        <v>19.53</v>
      </c>
      <c r="G30" s="6">
        <f t="shared" si="0"/>
        <v>312.48</v>
      </c>
      <c r="H30" s="6">
        <v>27</v>
      </c>
      <c r="I30" s="6">
        <f t="shared" si="1"/>
        <v>432</v>
      </c>
      <c r="J30" s="6">
        <v>19.8</v>
      </c>
      <c r="K30" s="7">
        <f t="shared" si="2"/>
        <v>316.8</v>
      </c>
      <c r="L30" s="6"/>
      <c r="M30" s="6">
        <f>L30*$E30</f>
        <v>0</v>
      </c>
      <c r="N30" s="6"/>
      <c r="O30" s="7">
        <f>N30*$E30</f>
        <v>0</v>
      </c>
      <c r="P30" s="13">
        <f>MEDIAN(J30,H30,F30,L30,N30)</f>
        <v>19.8</v>
      </c>
      <c r="Q30" s="5" t="str">
        <f>_xlfn.XLOOKUP(P30,F30:O30,$F$7:$O$7)</f>
        <v>DTS SANEAMENTO VÁLVULAS E CONEXÕES LTDA</v>
      </c>
      <c r="R30" s="1" t="str">
        <f>_xlfn.XLOOKUP(Q30,'RELAÇÃO DE FORNECEDORES'!$A$3:$A$287,'RELAÇÃO DE FORNECEDORES'!$B$3:$B$287)</f>
        <v>30.194.330/0001-26</v>
      </c>
      <c r="S30" s="1" t="str">
        <f>_xlfn.XLOOKUP(Q30,'RELAÇÃO DE FORNECEDORES'!$A$3:$A$287,'RELAÇÃO DE FORNECEDORES'!$E$3:$E$287)</f>
        <v>GILVAN MARTINS</v>
      </c>
      <c r="T30" s="12">
        <f>_xlfn.XLOOKUP(Q30,'RELAÇÃO DE FORNECEDORES'!$A$3:$A$287,'RELAÇÃO DE FORNECEDORES'!$C$3:$C$287)</f>
        <v>44546</v>
      </c>
    </row>
    <row r="31" spans="1:20" ht="51" x14ac:dyDescent="0.25">
      <c r="A31" s="11">
        <v>22</v>
      </c>
      <c r="B31" s="11" t="s">
        <v>235</v>
      </c>
      <c r="C31" s="14" t="s">
        <v>201</v>
      </c>
      <c r="D31" s="11" t="s">
        <v>4</v>
      </c>
      <c r="E31" s="8">
        <v>32</v>
      </c>
      <c r="F31" s="9">
        <v>61.02</v>
      </c>
      <c r="G31" s="6">
        <f t="shared" si="0"/>
        <v>1952.64</v>
      </c>
      <c r="H31" s="6">
        <v>0</v>
      </c>
      <c r="I31" s="6">
        <f t="shared" si="1"/>
        <v>0</v>
      </c>
      <c r="J31" s="6">
        <v>46</v>
      </c>
      <c r="K31" s="7">
        <f t="shared" si="2"/>
        <v>1472</v>
      </c>
      <c r="L31" s="6"/>
      <c r="M31" s="6">
        <f>L31*$E31</f>
        <v>0</v>
      </c>
      <c r="N31" s="6"/>
      <c r="O31" s="7">
        <f>N31*$E31</f>
        <v>0</v>
      </c>
      <c r="P31" s="13">
        <f>MEDIAN(J31,H31,F31,L31,N31)</f>
        <v>46</v>
      </c>
      <c r="Q31" s="5" t="str">
        <f>_xlfn.XLOOKUP(P31,F31:O31,$F$7:$O$7)</f>
        <v>DTS SANEAMENTO VÁLVULAS E CONEXÕES LTDA</v>
      </c>
      <c r="R31" s="1" t="str">
        <f>_xlfn.XLOOKUP(Q31,'RELAÇÃO DE FORNECEDORES'!$A$3:$A$287,'RELAÇÃO DE FORNECEDORES'!$B$3:$B$287)</f>
        <v>30.194.330/0001-26</v>
      </c>
      <c r="S31" s="1" t="str">
        <f>_xlfn.XLOOKUP(Q31,'RELAÇÃO DE FORNECEDORES'!$A$3:$A$287,'RELAÇÃO DE FORNECEDORES'!$E$3:$E$287)</f>
        <v>GILVAN MARTINS</v>
      </c>
      <c r="T31" s="12">
        <f>_xlfn.XLOOKUP(Q31,'RELAÇÃO DE FORNECEDORES'!$A$3:$A$287,'RELAÇÃO DE FORNECEDORES'!$C$3:$C$287)</f>
        <v>44546</v>
      </c>
    </row>
    <row r="32" spans="1:20" x14ac:dyDescent="0.25">
      <c r="L32" s="10"/>
      <c r="N32" s="6"/>
    </row>
    <row r="33" spans="1:20" x14ac:dyDescent="0.25">
      <c r="L33" s="10"/>
      <c r="N33" s="6"/>
    </row>
    <row r="34" spans="1:20" x14ac:dyDescent="0.25">
      <c r="H34" s="15"/>
      <c r="L34" s="10"/>
      <c r="N34" s="6"/>
    </row>
    <row r="35" spans="1:20" x14ac:dyDescent="0.25">
      <c r="A35" s="96" t="s">
        <v>445</v>
      </c>
      <c r="B35" s="96"/>
      <c r="C35" s="96"/>
      <c r="D35" s="96"/>
      <c r="E35" s="96"/>
      <c r="F35" s="96"/>
      <c r="G35" s="96"/>
      <c r="H35" s="96"/>
      <c r="I35" s="96"/>
      <c r="J35" s="96"/>
      <c r="K35" s="96"/>
      <c r="L35" s="96"/>
      <c r="M35" s="96"/>
      <c r="N35" s="96"/>
      <c r="O35" s="96"/>
      <c r="P35" s="96"/>
      <c r="Q35" s="96"/>
      <c r="R35" s="96"/>
      <c r="S35" s="96"/>
      <c r="T35" s="96"/>
    </row>
    <row r="36" spans="1:20" x14ac:dyDescent="0.25">
      <c r="A36" s="93" t="s">
        <v>27</v>
      </c>
      <c r="B36" s="93"/>
      <c r="C36" s="93"/>
      <c r="D36" s="93"/>
      <c r="E36" s="94"/>
      <c r="F36" s="95" t="s">
        <v>23</v>
      </c>
      <c r="G36" s="93"/>
      <c r="H36" s="93"/>
      <c r="I36" s="93"/>
      <c r="J36" s="93"/>
      <c r="K36" s="93"/>
      <c r="L36" s="93"/>
      <c r="M36" s="93"/>
      <c r="N36" s="93"/>
      <c r="O36" s="94"/>
      <c r="P36" s="78" t="s">
        <v>25</v>
      </c>
      <c r="Q36" s="78"/>
      <c r="R36" s="78"/>
      <c r="S36" s="78"/>
      <c r="T36" s="78"/>
    </row>
    <row r="37" spans="1:20" ht="55.5" customHeight="1" x14ac:dyDescent="0.25">
      <c r="A37" s="79" t="s">
        <v>1</v>
      </c>
      <c r="B37" s="79" t="s">
        <v>13</v>
      </c>
      <c r="C37" s="81" t="s">
        <v>0</v>
      </c>
      <c r="D37" s="79" t="s">
        <v>2</v>
      </c>
      <c r="E37" s="83" t="s">
        <v>17</v>
      </c>
      <c r="F37" s="85" t="s">
        <v>6</v>
      </c>
      <c r="G37" s="86"/>
      <c r="H37" s="86" t="s">
        <v>18</v>
      </c>
      <c r="I37" s="86"/>
      <c r="J37" s="86" t="s">
        <v>19</v>
      </c>
      <c r="K37" s="87"/>
      <c r="L37" s="86" t="s">
        <v>20</v>
      </c>
      <c r="M37" s="86"/>
      <c r="N37" s="86" t="s">
        <v>21</v>
      </c>
      <c r="O37" s="87"/>
      <c r="P37" s="88" t="s">
        <v>26</v>
      </c>
      <c r="Q37" s="79"/>
      <c r="R37" s="79"/>
      <c r="S37" s="79"/>
      <c r="T37" s="79"/>
    </row>
    <row r="38" spans="1:20" ht="55.5" customHeight="1" x14ac:dyDescent="0.25">
      <c r="A38" s="80"/>
      <c r="B38" s="80"/>
      <c r="C38" s="82"/>
      <c r="D38" s="80"/>
      <c r="E38" s="84"/>
      <c r="F38" s="90" t="s">
        <v>436</v>
      </c>
      <c r="G38" s="91"/>
      <c r="H38" s="91" t="s">
        <v>441</v>
      </c>
      <c r="I38" s="91"/>
      <c r="J38" s="91"/>
      <c r="K38" s="92"/>
      <c r="L38" s="91"/>
      <c r="M38" s="91"/>
      <c r="N38" s="91"/>
      <c r="O38" s="92"/>
      <c r="P38" s="89"/>
      <c r="Q38" s="78"/>
      <c r="R38" s="78"/>
      <c r="S38" s="78"/>
      <c r="T38" s="78"/>
    </row>
    <row r="39" spans="1:20" ht="25.5" x14ac:dyDescent="0.25">
      <c r="A39" s="80"/>
      <c r="B39" s="80"/>
      <c r="C39" s="82"/>
      <c r="D39" s="80"/>
      <c r="E39" s="18" t="s">
        <v>3</v>
      </c>
      <c r="F39" s="19" t="s">
        <v>15</v>
      </c>
      <c r="G39" s="61" t="s">
        <v>16</v>
      </c>
      <c r="H39" s="61" t="s">
        <v>15</v>
      </c>
      <c r="I39" s="61" t="s">
        <v>16</v>
      </c>
      <c r="J39" s="61" t="s">
        <v>15</v>
      </c>
      <c r="K39" s="21" t="s">
        <v>16</v>
      </c>
      <c r="L39" s="61" t="s">
        <v>15</v>
      </c>
      <c r="M39" s="61" t="s">
        <v>16</v>
      </c>
      <c r="N39" s="61" t="s">
        <v>15</v>
      </c>
      <c r="O39" s="21" t="s">
        <v>16</v>
      </c>
      <c r="P39" s="60" t="s">
        <v>24</v>
      </c>
      <c r="Q39" s="60" t="s">
        <v>5</v>
      </c>
      <c r="R39" s="60" t="s">
        <v>8</v>
      </c>
      <c r="S39" s="60" t="s">
        <v>9</v>
      </c>
      <c r="T39" s="61" t="s">
        <v>14</v>
      </c>
    </row>
    <row r="40" spans="1:20" hidden="1" x14ac:dyDescent="0.25">
      <c r="A40" s="11" t="s">
        <v>59</v>
      </c>
      <c r="B40" s="11" t="s">
        <v>60</v>
      </c>
      <c r="C40" s="14" t="s">
        <v>61</v>
      </c>
      <c r="D40" s="11" t="s">
        <v>62</v>
      </c>
      <c r="E40" s="8" t="s">
        <v>63</v>
      </c>
      <c r="F40" s="9" t="s">
        <v>64</v>
      </c>
      <c r="G40" s="6" t="s">
        <v>65</v>
      </c>
      <c r="H40" s="6" t="s">
        <v>66</v>
      </c>
      <c r="I40" s="6" t="s">
        <v>67</v>
      </c>
      <c r="J40" s="6" t="s">
        <v>68</v>
      </c>
      <c r="K40" s="7" t="s">
        <v>69</v>
      </c>
      <c r="L40" s="6" t="s">
        <v>70</v>
      </c>
      <c r="M40" s="6" t="s">
        <v>71</v>
      </c>
      <c r="N40" s="6" t="s">
        <v>72</v>
      </c>
      <c r="O40" s="7" t="s">
        <v>73</v>
      </c>
      <c r="P40" s="13" t="s">
        <v>74</v>
      </c>
      <c r="Q40" s="5" t="s">
        <v>75</v>
      </c>
      <c r="R40" s="1" t="s">
        <v>76</v>
      </c>
      <c r="S40" s="1" t="s">
        <v>77</v>
      </c>
      <c r="T40" s="12" t="s">
        <v>78</v>
      </c>
    </row>
    <row r="41" spans="1:20" ht="25.5" x14ac:dyDescent="0.25">
      <c r="A41" s="11">
        <v>1</v>
      </c>
      <c r="B41" s="11" t="s">
        <v>446</v>
      </c>
      <c r="C41" s="14" t="s">
        <v>534</v>
      </c>
      <c r="D41" s="11" t="s">
        <v>45</v>
      </c>
      <c r="E41" s="8">
        <v>18</v>
      </c>
      <c r="F41" s="9">
        <f>26100/9</f>
        <v>2900</v>
      </c>
      <c r="G41" s="6">
        <f>F41*$E41</f>
        <v>52200</v>
      </c>
      <c r="H41" s="6">
        <f>148500/9</f>
        <v>16500</v>
      </c>
      <c r="I41" s="6">
        <f>H41*$E41</f>
        <v>297000</v>
      </c>
      <c r="J41" s="6">
        <v>0</v>
      </c>
      <c r="K41" s="7">
        <f>J41*$E41</f>
        <v>0</v>
      </c>
      <c r="L41" s="6"/>
      <c r="M41" s="6">
        <f>L41*$E41</f>
        <v>0</v>
      </c>
      <c r="N41" s="6"/>
      <c r="O41" s="7">
        <f>N41*$E41</f>
        <v>0</v>
      </c>
      <c r="P41" s="13">
        <f>MEDIAN(J41,H41,F41,L41,N41)</f>
        <v>2900</v>
      </c>
      <c r="Q41" s="5" t="str">
        <f>_xlfn.XLOOKUP(P41,F41:O41,$F$38:$O$38)</f>
        <v>REALFLEX PRODS.DE BORRACHA LTDA</v>
      </c>
      <c r="R41" s="1" t="e">
        <f>_xlfn.XLOOKUP(Q41,'RELAÇÃO DE FORNECEDORES'!$A$3:$A$287,'RELAÇÃO DE FORNECEDORES'!$B$3:$B$287)</f>
        <v>#N/A</v>
      </c>
      <c r="S41" s="1" t="e">
        <f>_xlfn.XLOOKUP(Q41,'RELAÇÃO DE FORNECEDORES'!$A$3:$A$287,'RELAÇÃO DE FORNECEDORES'!$E$3:$E$287)</f>
        <v>#N/A</v>
      </c>
      <c r="T41" s="12" t="e">
        <f>_xlfn.XLOOKUP(Q41,'RELAÇÃO DE FORNECEDORES'!$A$3:$A$287,'RELAÇÃO DE FORNECEDORES'!$C$3:$C$287)</f>
        <v>#N/A</v>
      </c>
    </row>
    <row r="42" spans="1:20" x14ac:dyDescent="0.25">
      <c r="H42" s="15"/>
      <c r="L42" s="10"/>
      <c r="N42" s="6"/>
    </row>
    <row r="43" spans="1:20" x14ac:dyDescent="0.25">
      <c r="H43" s="15"/>
      <c r="L43" s="10"/>
      <c r="N43" s="6"/>
    </row>
    <row r="44" spans="1:20" x14ac:dyDescent="0.25">
      <c r="H44" s="15"/>
      <c r="L44" s="10"/>
      <c r="N44" s="6"/>
    </row>
    <row r="45" spans="1:20" x14ac:dyDescent="0.25">
      <c r="A45" s="96" t="s">
        <v>56</v>
      </c>
      <c r="B45" s="96"/>
      <c r="C45" s="96"/>
      <c r="D45" s="96"/>
      <c r="E45" s="96"/>
      <c r="F45" s="96"/>
      <c r="G45" s="96"/>
      <c r="H45" s="96"/>
      <c r="I45" s="96"/>
      <c r="J45" s="96"/>
      <c r="K45" s="96"/>
      <c r="L45" s="96"/>
      <c r="M45" s="96"/>
      <c r="N45" s="96"/>
      <c r="O45" s="96"/>
      <c r="P45" s="96"/>
      <c r="Q45" s="96"/>
      <c r="R45" s="96"/>
      <c r="S45" s="96"/>
      <c r="T45" s="96"/>
    </row>
    <row r="46" spans="1:20" x14ac:dyDescent="0.25">
      <c r="A46" s="93" t="s">
        <v>27</v>
      </c>
      <c r="B46" s="93"/>
      <c r="C46" s="93"/>
      <c r="D46" s="93"/>
      <c r="E46" s="94"/>
      <c r="F46" s="95" t="s">
        <v>23</v>
      </c>
      <c r="G46" s="93"/>
      <c r="H46" s="93"/>
      <c r="I46" s="93"/>
      <c r="J46" s="93"/>
      <c r="K46" s="93"/>
      <c r="L46" s="93"/>
      <c r="M46" s="93"/>
      <c r="N46" s="93"/>
      <c r="O46" s="94"/>
      <c r="P46" s="78" t="s">
        <v>25</v>
      </c>
      <c r="Q46" s="78"/>
      <c r="R46" s="78"/>
      <c r="S46" s="78"/>
      <c r="T46" s="78"/>
    </row>
    <row r="47" spans="1:20" ht="53.25" customHeight="1" x14ac:dyDescent="0.25">
      <c r="A47" s="79" t="s">
        <v>1</v>
      </c>
      <c r="B47" s="79" t="s">
        <v>13</v>
      </c>
      <c r="C47" s="81" t="s">
        <v>0</v>
      </c>
      <c r="D47" s="79" t="s">
        <v>2</v>
      </c>
      <c r="E47" s="83" t="s">
        <v>17</v>
      </c>
      <c r="F47" s="85" t="s">
        <v>6</v>
      </c>
      <c r="G47" s="86"/>
      <c r="H47" s="86" t="s">
        <v>18</v>
      </c>
      <c r="I47" s="86"/>
      <c r="J47" s="86" t="s">
        <v>19</v>
      </c>
      <c r="K47" s="87"/>
      <c r="L47" s="86" t="s">
        <v>20</v>
      </c>
      <c r="M47" s="86"/>
      <c r="N47" s="86" t="s">
        <v>21</v>
      </c>
      <c r="O47" s="87"/>
      <c r="P47" s="88" t="s">
        <v>26</v>
      </c>
      <c r="Q47" s="79"/>
      <c r="R47" s="79"/>
      <c r="S47" s="79"/>
      <c r="T47" s="79"/>
    </row>
    <row r="48" spans="1:20" ht="53.25" customHeight="1" x14ac:dyDescent="0.25">
      <c r="A48" s="80"/>
      <c r="B48" s="80"/>
      <c r="C48" s="82"/>
      <c r="D48" s="80"/>
      <c r="E48" s="84"/>
      <c r="F48" s="90" t="s">
        <v>104</v>
      </c>
      <c r="G48" s="91"/>
      <c r="H48" s="91" t="s">
        <v>206</v>
      </c>
      <c r="I48" s="91"/>
      <c r="J48" s="91" t="s">
        <v>433</v>
      </c>
      <c r="K48" s="92"/>
      <c r="L48" s="91"/>
      <c r="M48" s="91"/>
      <c r="N48" s="91"/>
      <c r="O48" s="92"/>
      <c r="P48" s="89"/>
      <c r="Q48" s="78"/>
      <c r="R48" s="78"/>
      <c r="S48" s="78"/>
      <c r="T48" s="78"/>
    </row>
    <row r="49" spans="1:20" ht="25.5" x14ac:dyDescent="0.25">
      <c r="A49" s="80"/>
      <c r="B49" s="80"/>
      <c r="C49" s="82"/>
      <c r="D49" s="80"/>
      <c r="E49" s="18" t="s">
        <v>3</v>
      </c>
      <c r="F49" s="19" t="s">
        <v>15</v>
      </c>
      <c r="G49" s="20" t="s">
        <v>16</v>
      </c>
      <c r="H49" s="20" t="s">
        <v>15</v>
      </c>
      <c r="I49" s="20" t="s">
        <v>16</v>
      </c>
      <c r="J49" s="20" t="s">
        <v>15</v>
      </c>
      <c r="K49" s="21" t="s">
        <v>16</v>
      </c>
      <c r="L49" s="20" t="s">
        <v>15</v>
      </c>
      <c r="M49" s="20" t="s">
        <v>16</v>
      </c>
      <c r="N49" s="20" t="s">
        <v>15</v>
      </c>
      <c r="O49" s="21" t="s">
        <v>16</v>
      </c>
      <c r="P49" s="22" t="s">
        <v>24</v>
      </c>
      <c r="Q49" s="22" t="s">
        <v>5</v>
      </c>
      <c r="R49" s="22" t="s">
        <v>8</v>
      </c>
      <c r="S49" s="22" t="s">
        <v>9</v>
      </c>
      <c r="T49" s="20" t="s">
        <v>14</v>
      </c>
    </row>
    <row r="50" spans="1:20" hidden="1" x14ac:dyDescent="0.25">
      <c r="A50" s="11" t="s">
        <v>59</v>
      </c>
      <c r="B50" s="11" t="s">
        <v>60</v>
      </c>
      <c r="C50" s="14" t="s">
        <v>61</v>
      </c>
      <c r="D50" s="11" t="s">
        <v>62</v>
      </c>
      <c r="E50" s="8" t="s">
        <v>63</v>
      </c>
      <c r="F50" s="9" t="s">
        <v>64</v>
      </c>
      <c r="G50" s="6" t="s">
        <v>65</v>
      </c>
      <c r="H50" s="6" t="s">
        <v>66</v>
      </c>
      <c r="I50" s="6" t="s">
        <v>67</v>
      </c>
      <c r="J50" s="6" t="s">
        <v>68</v>
      </c>
      <c r="K50" s="7" t="s">
        <v>69</v>
      </c>
      <c r="L50" s="6" t="s">
        <v>70</v>
      </c>
      <c r="M50" s="6" t="s">
        <v>71</v>
      </c>
      <c r="N50" s="6" t="s">
        <v>72</v>
      </c>
      <c r="O50" s="7" t="s">
        <v>73</v>
      </c>
      <c r="P50" s="13" t="s">
        <v>74</v>
      </c>
      <c r="Q50" s="5" t="s">
        <v>75</v>
      </c>
      <c r="R50" s="1" t="s">
        <v>76</v>
      </c>
      <c r="S50" s="1" t="s">
        <v>77</v>
      </c>
      <c r="T50" s="12" t="s">
        <v>78</v>
      </c>
    </row>
    <row r="51" spans="1:20" ht="51" x14ac:dyDescent="0.25">
      <c r="A51" s="11">
        <v>1</v>
      </c>
      <c r="B51" s="11" t="s">
        <v>79</v>
      </c>
      <c r="C51" s="14" t="s">
        <v>42</v>
      </c>
      <c r="D51" s="11" t="s">
        <v>4</v>
      </c>
      <c r="E51" s="8">
        <v>2</v>
      </c>
      <c r="F51" s="9">
        <v>76702</v>
      </c>
      <c r="G51" s="6">
        <f>F51*$E51</f>
        <v>153404</v>
      </c>
      <c r="H51" s="6">
        <v>85000</v>
      </c>
      <c r="I51" s="6">
        <f>H51*$E51</f>
        <v>170000</v>
      </c>
      <c r="J51" s="6">
        <v>118819</v>
      </c>
      <c r="K51" s="7">
        <f>J51*$E51</f>
        <v>237638</v>
      </c>
      <c r="L51" s="6"/>
      <c r="M51" s="6">
        <f>L51*$E51</f>
        <v>0</v>
      </c>
      <c r="N51" s="6"/>
      <c r="O51" s="7">
        <f>N51*$E51</f>
        <v>0</v>
      </c>
      <c r="P51" s="13">
        <f>MEDIAN(J51,H51,F51,L51,N51)</f>
        <v>85000</v>
      </c>
      <c r="Q51" s="5" t="str">
        <f>_xlfn.XLOOKUP(P51,F51:O51,$F$48:$O$48)</f>
        <v>V E GOMES ARAUJO EIRELI (MT SANEAMENTO)</v>
      </c>
      <c r="R51" s="1" t="str">
        <f>_xlfn.XLOOKUP(Q51,'RELAÇÃO DE FORNECEDORES'!$A$3:$A$287,'RELAÇÃO DE FORNECEDORES'!$B$3:$B$287)</f>
        <v>20.775.930/0001-24</v>
      </c>
      <c r="S51" s="1" t="str">
        <f>_xlfn.XLOOKUP(Q51,'RELAÇÃO DE FORNECEDORES'!$A$3:$A$287,'RELAÇÃO DE FORNECEDORES'!$E$3:$E$287)</f>
        <v>VICTOR ARAUJO</v>
      </c>
      <c r="T51" s="12">
        <f>_xlfn.XLOOKUP(Q51,'RELAÇÃO DE FORNECEDORES'!$A$3:$A$287,'RELAÇÃO DE FORNECEDORES'!$C$3:$C$287)</f>
        <v>44547</v>
      </c>
    </row>
    <row r="55" spans="1:20" x14ac:dyDescent="0.25">
      <c r="A55" s="97" t="s">
        <v>57</v>
      </c>
      <c r="B55" s="97"/>
      <c r="C55" s="97"/>
      <c r="D55" s="97"/>
      <c r="E55" s="97"/>
      <c r="F55" s="97"/>
      <c r="G55" s="97"/>
      <c r="H55" s="97"/>
      <c r="I55" s="97"/>
      <c r="J55" s="97"/>
      <c r="K55" s="97"/>
      <c r="L55" s="97"/>
      <c r="M55" s="97"/>
      <c r="N55" s="97"/>
      <c r="O55" s="97"/>
      <c r="P55" s="97"/>
      <c r="Q55" s="97"/>
      <c r="R55" s="97"/>
      <c r="S55" s="97"/>
      <c r="T55" s="97"/>
    </row>
    <row r="56" spans="1:20" x14ac:dyDescent="0.25">
      <c r="A56" s="93" t="s">
        <v>27</v>
      </c>
      <c r="B56" s="93"/>
      <c r="C56" s="93"/>
      <c r="D56" s="93"/>
      <c r="E56" s="94"/>
      <c r="F56" s="95" t="s">
        <v>23</v>
      </c>
      <c r="G56" s="93"/>
      <c r="H56" s="93"/>
      <c r="I56" s="93"/>
      <c r="J56" s="93"/>
      <c r="K56" s="93"/>
      <c r="L56" s="93"/>
      <c r="M56" s="93"/>
      <c r="N56" s="93"/>
      <c r="O56" s="94"/>
      <c r="P56" s="78" t="s">
        <v>25</v>
      </c>
      <c r="Q56" s="78"/>
      <c r="R56" s="78"/>
      <c r="S56" s="78"/>
      <c r="T56" s="78"/>
    </row>
    <row r="57" spans="1:20" ht="53.25" customHeight="1" x14ac:dyDescent="0.25">
      <c r="A57" s="79" t="s">
        <v>1</v>
      </c>
      <c r="B57" s="79" t="s">
        <v>13</v>
      </c>
      <c r="C57" s="81" t="s">
        <v>0</v>
      </c>
      <c r="D57" s="79" t="s">
        <v>2</v>
      </c>
      <c r="E57" s="83" t="s">
        <v>17</v>
      </c>
      <c r="F57" s="85" t="s">
        <v>6</v>
      </c>
      <c r="G57" s="86"/>
      <c r="H57" s="86" t="s">
        <v>18</v>
      </c>
      <c r="I57" s="86"/>
      <c r="J57" s="86" t="s">
        <v>19</v>
      </c>
      <c r="K57" s="87"/>
      <c r="L57" s="86" t="s">
        <v>20</v>
      </c>
      <c r="M57" s="86"/>
      <c r="N57" s="86" t="s">
        <v>21</v>
      </c>
      <c r="O57" s="87"/>
      <c r="P57" s="88" t="s">
        <v>26</v>
      </c>
      <c r="Q57" s="79"/>
      <c r="R57" s="79"/>
      <c r="S57" s="79"/>
      <c r="T57" s="79"/>
    </row>
    <row r="58" spans="1:20" ht="53.25" customHeight="1" x14ac:dyDescent="0.25">
      <c r="A58" s="80"/>
      <c r="B58" s="80"/>
      <c r="C58" s="82"/>
      <c r="D58" s="80"/>
      <c r="E58" s="84"/>
      <c r="F58" s="90" t="s">
        <v>31</v>
      </c>
      <c r="G58" s="91"/>
      <c r="H58" s="91" t="s">
        <v>46</v>
      </c>
      <c r="I58" s="91"/>
      <c r="J58" s="91" t="s">
        <v>101</v>
      </c>
      <c r="K58" s="92"/>
      <c r="L58" s="91"/>
      <c r="M58" s="91"/>
      <c r="N58" s="91"/>
      <c r="O58" s="92"/>
      <c r="P58" s="89"/>
      <c r="Q58" s="78"/>
      <c r="R58" s="78"/>
      <c r="S58" s="78"/>
      <c r="T58" s="78"/>
    </row>
    <row r="59" spans="1:20" ht="25.5" x14ac:dyDescent="0.25">
      <c r="A59" s="80"/>
      <c r="B59" s="80"/>
      <c r="C59" s="82"/>
      <c r="D59" s="80"/>
      <c r="E59" s="18" t="s">
        <v>3</v>
      </c>
      <c r="F59" s="19" t="s">
        <v>15</v>
      </c>
      <c r="G59" s="20" t="s">
        <v>16</v>
      </c>
      <c r="H59" s="20" t="s">
        <v>15</v>
      </c>
      <c r="I59" s="20" t="s">
        <v>16</v>
      </c>
      <c r="J59" s="20" t="s">
        <v>15</v>
      </c>
      <c r="K59" s="21" t="s">
        <v>16</v>
      </c>
      <c r="L59" s="20" t="s">
        <v>15</v>
      </c>
      <c r="M59" s="20" t="s">
        <v>16</v>
      </c>
      <c r="N59" s="20" t="s">
        <v>15</v>
      </c>
      <c r="O59" s="21" t="s">
        <v>16</v>
      </c>
      <c r="P59" s="22" t="s">
        <v>24</v>
      </c>
      <c r="Q59" s="22" t="s">
        <v>5</v>
      </c>
      <c r="R59" s="22" t="s">
        <v>8</v>
      </c>
      <c r="S59" s="22" t="s">
        <v>9</v>
      </c>
      <c r="T59" s="20" t="s">
        <v>14</v>
      </c>
    </row>
    <row r="60" spans="1:20" hidden="1" x14ac:dyDescent="0.25">
      <c r="A60" s="11" t="s">
        <v>59</v>
      </c>
      <c r="B60" s="11" t="s">
        <v>60</v>
      </c>
      <c r="C60" s="14" t="s">
        <v>61</v>
      </c>
      <c r="D60" s="11" t="s">
        <v>62</v>
      </c>
      <c r="E60" s="8" t="s">
        <v>63</v>
      </c>
      <c r="F60" s="9" t="s">
        <v>64</v>
      </c>
      <c r="G60" s="6" t="s">
        <v>65</v>
      </c>
      <c r="H60" s="6" t="s">
        <v>66</v>
      </c>
      <c r="I60" s="6" t="s">
        <v>67</v>
      </c>
      <c r="J60" s="6" t="s">
        <v>68</v>
      </c>
      <c r="K60" s="7" t="s">
        <v>69</v>
      </c>
      <c r="L60" s="6" t="s">
        <v>70</v>
      </c>
      <c r="M60" s="6" t="s">
        <v>71</v>
      </c>
      <c r="N60" s="6" t="s">
        <v>72</v>
      </c>
      <c r="O60" s="7" t="s">
        <v>73</v>
      </c>
      <c r="P60" s="13" t="s">
        <v>74</v>
      </c>
      <c r="Q60" s="5" t="s">
        <v>75</v>
      </c>
      <c r="R60" s="1" t="s">
        <v>76</v>
      </c>
      <c r="S60" s="1" t="s">
        <v>77</v>
      </c>
      <c r="T60" s="12" t="s">
        <v>78</v>
      </c>
    </row>
    <row r="61" spans="1:20" ht="38.25" x14ac:dyDescent="0.25">
      <c r="A61" s="11">
        <v>1</v>
      </c>
      <c r="B61" s="11" t="s">
        <v>80</v>
      </c>
      <c r="C61" s="14" t="s">
        <v>58</v>
      </c>
      <c r="D61" s="11" t="s">
        <v>4</v>
      </c>
      <c r="E61" s="8">
        <v>1</v>
      </c>
      <c r="F61" s="9">
        <v>394694.34</v>
      </c>
      <c r="G61" s="6">
        <f>F61*$E61</f>
        <v>394694.34</v>
      </c>
      <c r="H61" s="6">
        <v>405034.18</v>
      </c>
      <c r="I61" s="6">
        <f>H61*$E61</f>
        <v>405034.18</v>
      </c>
      <c r="J61" s="6">
        <v>380141.06</v>
      </c>
      <c r="K61" s="7">
        <f>J61*$E61</f>
        <v>380141.06</v>
      </c>
      <c r="L61" s="6"/>
      <c r="M61" s="6">
        <f>L61*$E61</f>
        <v>0</v>
      </c>
      <c r="N61" s="6"/>
      <c r="O61" s="7">
        <f>N61*$E61</f>
        <v>0</v>
      </c>
      <c r="P61" s="13">
        <f>MEDIAN(J61,H61,F61,L61,N61)</f>
        <v>394694.34</v>
      </c>
      <c r="Q61" s="5" t="str">
        <f>_xlfn.XLOOKUP(P61,F61:O61,$F58:$O58)</f>
        <v>MARCON ENGENHARIA E CONSTRUÇÕES LTDA</v>
      </c>
      <c r="R61" s="1" t="str">
        <f>_xlfn.XLOOKUP(Q61,'RELAÇÃO DE FORNECEDORES'!$A$3:$A$287,'RELAÇÃO DE FORNECEDORES'!$B$3:$B$287)</f>
        <v>03.307.088/0001-87</v>
      </c>
      <c r="S61" s="1" t="str">
        <f>_xlfn.XLOOKUP(Q61,'RELAÇÃO DE FORNECEDORES'!$A$3:$A$287,'RELAÇÃO DE FORNECEDORES'!$E$3:$E$287)</f>
        <v>HERMUT RODRIGUES</v>
      </c>
      <c r="T61" s="12">
        <f>_xlfn.XLOOKUP(Q61,'RELAÇÃO DE FORNECEDORES'!$A$3:$A$287,'RELAÇÃO DE FORNECEDORES'!$C$3:$C$287)</f>
        <v>44327</v>
      </c>
    </row>
    <row r="65" spans="1:20" x14ac:dyDescent="0.25">
      <c r="A65" s="97" t="s">
        <v>81</v>
      </c>
      <c r="B65" s="97"/>
      <c r="C65" s="97"/>
      <c r="D65" s="97"/>
      <c r="E65" s="97"/>
      <c r="F65" s="97"/>
      <c r="G65" s="97"/>
      <c r="H65" s="97"/>
      <c r="I65" s="97"/>
      <c r="J65" s="97"/>
      <c r="K65" s="97"/>
      <c r="L65" s="97"/>
      <c r="M65" s="97"/>
      <c r="N65" s="97"/>
      <c r="O65" s="97"/>
      <c r="P65" s="97"/>
      <c r="Q65" s="97"/>
      <c r="R65" s="97"/>
      <c r="S65" s="97"/>
      <c r="T65" s="97"/>
    </row>
    <row r="66" spans="1:20" x14ac:dyDescent="0.25">
      <c r="A66" s="93" t="s">
        <v>27</v>
      </c>
      <c r="B66" s="93"/>
      <c r="C66" s="93"/>
      <c r="D66" s="93"/>
      <c r="E66" s="94"/>
      <c r="F66" s="95" t="s">
        <v>23</v>
      </c>
      <c r="G66" s="93"/>
      <c r="H66" s="93"/>
      <c r="I66" s="93"/>
      <c r="J66" s="93"/>
      <c r="K66" s="93"/>
      <c r="L66" s="93"/>
      <c r="M66" s="93"/>
      <c r="N66" s="93"/>
      <c r="O66" s="94"/>
      <c r="P66" s="78" t="s">
        <v>25</v>
      </c>
      <c r="Q66" s="78"/>
      <c r="R66" s="78"/>
      <c r="S66" s="78"/>
      <c r="T66" s="78"/>
    </row>
    <row r="67" spans="1:20" ht="72" customHeight="1" x14ac:dyDescent="0.25">
      <c r="A67" s="79" t="s">
        <v>1</v>
      </c>
      <c r="B67" s="79" t="s">
        <v>13</v>
      </c>
      <c r="C67" s="81" t="s">
        <v>0</v>
      </c>
      <c r="D67" s="79" t="s">
        <v>2</v>
      </c>
      <c r="E67" s="83" t="s">
        <v>17</v>
      </c>
      <c r="F67" s="85" t="s">
        <v>6</v>
      </c>
      <c r="G67" s="86"/>
      <c r="H67" s="86" t="s">
        <v>18</v>
      </c>
      <c r="I67" s="86"/>
      <c r="J67" s="86" t="s">
        <v>19</v>
      </c>
      <c r="K67" s="87"/>
      <c r="L67" s="86" t="s">
        <v>20</v>
      </c>
      <c r="M67" s="86"/>
      <c r="N67" s="86" t="s">
        <v>21</v>
      </c>
      <c r="O67" s="87"/>
      <c r="P67" s="88" t="s">
        <v>26</v>
      </c>
      <c r="Q67" s="79"/>
      <c r="R67" s="79"/>
      <c r="S67" s="79"/>
      <c r="T67" s="79"/>
    </row>
    <row r="68" spans="1:20" ht="72" customHeight="1" x14ac:dyDescent="0.25">
      <c r="A68" s="80"/>
      <c r="B68" s="80"/>
      <c r="C68" s="82"/>
      <c r="D68" s="80"/>
      <c r="E68" s="84"/>
      <c r="F68" s="90" t="s">
        <v>43</v>
      </c>
      <c r="G68" s="91"/>
      <c r="H68" s="91" t="s">
        <v>237</v>
      </c>
      <c r="I68" s="91"/>
      <c r="J68" s="91" t="s">
        <v>49</v>
      </c>
      <c r="K68" s="92"/>
      <c r="L68" s="91"/>
      <c r="M68" s="91"/>
      <c r="N68" s="91"/>
      <c r="O68" s="92"/>
      <c r="P68" s="89"/>
      <c r="Q68" s="78"/>
      <c r="R68" s="78"/>
      <c r="S68" s="78"/>
      <c r="T68" s="78"/>
    </row>
    <row r="69" spans="1:20" ht="25.5" x14ac:dyDescent="0.25">
      <c r="A69" s="80"/>
      <c r="B69" s="80"/>
      <c r="C69" s="82"/>
      <c r="D69" s="80"/>
      <c r="E69" s="18" t="s">
        <v>3</v>
      </c>
      <c r="F69" s="19" t="s">
        <v>15</v>
      </c>
      <c r="G69" s="20" t="s">
        <v>16</v>
      </c>
      <c r="H69" s="20" t="s">
        <v>15</v>
      </c>
      <c r="I69" s="20" t="s">
        <v>16</v>
      </c>
      <c r="J69" s="20" t="s">
        <v>15</v>
      </c>
      <c r="K69" s="21" t="s">
        <v>16</v>
      </c>
      <c r="L69" s="20" t="s">
        <v>15</v>
      </c>
      <c r="M69" s="20" t="s">
        <v>16</v>
      </c>
      <c r="N69" s="20" t="s">
        <v>15</v>
      </c>
      <c r="O69" s="21" t="s">
        <v>16</v>
      </c>
      <c r="P69" s="22" t="s">
        <v>24</v>
      </c>
      <c r="Q69" s="22" t="s">
        <v>5</v>
      </c>
      <c r="R69" s="22" t="s">
        <v>8</v>
      </c>
      <c r="S69" s="22" t="s">
        <v>9</v>
      </c>
      <c r="T69" s="20" t="s">
        <v>14</v>
      </c>
    </row>
    <row r="70" spans="1:20" hidden="1" x14ac:dyDescent="0.25">
      <c r="A70" s="11" t="s">
        <v>59</v>
      </c>
      <c r="B70" s="11" t="s">
        <v>60</v>
      </c>
      <c r="C70" s="14" t="s">
        <v>61</v>
      </c>
      <c r="D70" s="11" t="s">
        <v>62</v>
      </c>
      <c r="E70" s="8" t="s">
        <v>63</v>
      </c>
      <c r="F70" s="9" t="s">
        <v>64</v>
      </c>
      <c r="G70" s="6" t="s">
        <v>65</v>
      </c>
      <c r="H70" s="6" t="s">
        <v>66</v>
      </c>
      <c r="I70" s="6" t="s">
        <v>67</v>
      </c>
      <c r="J70" s="6" t="s">
        <v>68</v>
      </c>
      <c r="K70" s="7" t="s">
        <v>69</v>
      </c>
      <c r="L70" s="6" t="s">
        <v>70</v>
      </c>
      <c r="M70" s="6" t="s">
        <v>71</v>
      </c>
      <c r="N70" s="6" t="s">
        <v>72</v>
      </c>
      <c r="O70" s="7" t="s">
        <v>73</v>
      </c>
      <c r="P70" s="13" t="s">
        <v>74</v>
      </c>
      <c r="Q70" s="5" t="s">
        <v>75</v>
      </c>
      <c r="R70" s="1" t="s">
        <v>76</v>
      </c>
      <c r="S70" s="1" t="s">
        <v>77</v>
      </c>
      <c r="T70" s="12" t="s">
        <v>78</v>
      </c>
    </row>
    <row r="71" spans="1:20" ht="25.5" x14ac:dyDescent="0.25">
      <c r="A71" s="11">
        <v>1</v>
      </c>
      <c r="B71" s="11" t="s">
        <v>82</v>
      </c>
      <c r="C71" s="14" t="s">
        <v>83</v>
      </c>
      <c r="D71" s="11" t="s">
        <v>45</v>
      </c>
      <c r="E71" s="8">
        <v>250</v>
      </c>
      <c r="F71" s="9">
        <v>499.99</v>
      </c>
      <c r="G71" s="6">
        <f>F71*$E71</f>
        <v>124997.5</v>
      </c>
      <c r="H71" s="6">
        <f>5759/12</f>
        <v>479.91666666666669</v>
      </c>
      <c r="I71" s="6">
        <f>H71*$E71</f>
        <v>119979.16666666667</v>
      </c>
      <c r="J71" s="6">
        <f>724.08*6</f>
        <v>4344.4800000000005</v>
      </c>
      <c r="K71" s="7">
        <f>J71*$E71</f>
        <v>1086120.0000000002</v>
      </c>
      <c r="L71" s="6"/>
      <c r="M71" s="6">
        <f>L71*$E71</f>
        <v>0</v>
      </c>
      <c r="N71" s="6"/>
      <c r="O71" s="7">
        <f>N71*$E71</f>
        <v>0</v>
      </c>
      <c r="P71" s="13">
        <f>MEDIAN(J71,H71,F71,L71,N71)</f>
        <v>499.99</v>
      </c>
      <c r="Q71" s="5" t="str">
        <f>_xlfn.XLOOKUP(P71,F71:O71,$F68:$O68)</f>
        <v>ACF REPRESENTAÇÕES LTDA</v>
      </c>
      <c r="R71" s="1" t="str">
        <f>_xlfn.XLOOKUP(Q71,'RELAÇÃO DE FORNECEDORES'!$A$3:$A$287,'RELAÇÃO DE FORNECEDORES'!$B$3:$B$287)</f>
        <v>03.724.137/0001-87</v>
      </c>
      <c r="S71" s="1" t="str">
        <f>_xlfn.XLOOKUP(Q71,'RELAÇÃO DE FORNECEDORES'!$A$3:$A$287,'RELAÇÃO DE FORNECEDORES'!$E$3:$E$287)</f>
        <v>ANTONIO FERREIRA</v>
      </c>
      <c r="T71" s="12">
        <f>_xlfn.XLOOKUP(Q71,'RELAÇÃO DE FORNECEDORES'!$A$3:$A$287,'RELAÇÃO DE FORNECEDORES'!$C$3:$C$287)</f>
        <v>44330</v>
      </c>
    </row>
    <row r="75" spans="1:20" x14ac:dyDescent="0.25">
      <c r="A75" s="96" t="s">
        <v>107</v>
      </c>
      <c r="B75" s="96"/>
      <c r="C75" s="96"/>
      <c r="D75" s="96"/>
      <c r="E75" s="96"/>
      <c r="F75" s="96"/>
      <c r="G75" s="96"/>
      <c r="H75" s="96"/>
      <c r="I75" s="96"/>
      <c r="J75" s="96"/>
      <c r="K75" s="96"/>
      <c r="L75" s="96"/>
      <c r="M75" s="96"/>
      <c r="N75" s="96"/>
      <c r="O75" s="96"/>
      <c r="P75" s="96"/>
      <c r="Q75" s="96"/>
      <c r="R75" s="96"/>
      <c r="S75" s="96"/>
      <c r="T75" s="96"/>
    </row>
    <row r="76" spans="1:20" x14ac:dyDescent="0.25">
      <c r="A76" s="93" t="s">
        <v>27</v>
      </c>
      <c r="B76" s="93"/>
      <c r="C76" s="93"/>
      <c r="D76" s="93"/>
      <c r="E76" s="94"/>
      <c r="F76" s="95" t="s">
        <v>23</v>
      </c>
      <c r="G76" s="93"/>
      <c r="H76" s="93"/>
      <c r="I76" s="93"/>
      <c r="J76" s="93"/>
      <c r="K76" s="93"/>
      <c r="L76" s="93"/>
      <c r="M76" s="93"/>
      <c r="N76" s="93"/>
      <c r="O76" s="94"/>
      <c r="P76" s="78" t="s">
        <v>25</v>
      </c>
      <c r="Q76" s="78"/>
      <c r="R76" s="78"/>
      <c r="S76" s="78"/>
      <c r="T76" s="78"/>
    </row>
    <row r="77" spans="1:20" ht="72" customHeight="1" x14ac:dyDescent="0.25">
      <c r="A77" s="79" t="s">
        <v>1</v>
      </c>
      <c r="B77" s="79" t="s">
        <v>13</v>
      </c>
      <c r="C77" s="81" t="s">
        <v>0</v>
      </c>
      <c r="D77" s="79" t="s">
        <v>2</v>
      </c>
      <c r="E77" s="83" t="s">
        <v>17</v>
      </c>
      <c r="F77" s="85" t="s">
        <v>6</v>
      </c>
      <c r="G77" s="86"/>
      <c r="H77" s="86" t="s">
        <v>18</v>
      </c>
      <c r="I77" s="86"/>
      <c r="J77" s="86" t="s">
        <v>19</v>
      </c>
      <c r="K77" s="87"/>
      <c r="L77" s="86" t="s">
        <v>20</v>
      </c>
      <c r="M77" s="86"/>
      <c r="N77" s="86" t="s">
        <v>21</v>
      </c>
      <c r="O77" s="87"/>
      <c r="P77" s="88" t="s">
        <v>26</v>
      </c>
      <c r="Q77" s="79"/>
      <c r="R77" s="79"/>
      <c r="S77" s="79"/>
      <c r="T77" s="79"/>
    </row>
    <row r="78" spans="1:20" ht="72" customHeight="1" x14ac:dyDescent="0.25">
      <c r="A78" s="80"/>
      <c r="B78" s="80"/>
      <c r="C78" s="82"/>
      <c r="D78" s="80"/>
      <c r="E78" s="84"/>
      <c r="F78" s="90" t="s">
        <v>110</v>
      </c>
      <c r="G78" s="91"/>
      <c r="H78" s="91"/>
      <c r="I78" s="91"/>
      <c r="J78" s="91"/>
      <c r="K78" s="92"/>
      <c r="L78" s="91"/>
      <c r="M78" s="91"/>
      <c r="N78" s="91"/>
      <c r="O78" s="92"/>
      <c r="P78" s="89"/>
      <c r="Q78" s="78"/>
      <c r="R78" s="78"/>
      <c r="S78" s="78"/>
      <c r="T78" s="78"/>
    </row>
    <row r="79" spans="1:20" ht="25.5" x14ac:dyDescent="0.25">
      <c r="A79" s="80"/>
      <c r="B79" s="80"/>
      <c r="C79" s="82"/>
      <c r="D79" s="80"/>
      <c r="E79" s="18" t="s">
        <v>3</v>
      </c>
      <c r="F79" s="19" t="s">
        <v>15</v>
      </c>
      <c r="G79" s="25" t="s">
        <v>16</v>
      </c>
      <c r="H79" s="25" t="s">
        <v>15</v>
      </c>
      <c r="I79" s="25" t="s">
        <v>16</v>
      </c>
      <c r="J79" s="25" t="s">
        <v>15</v>
      </c>
      <c r="K79" s="21" t="s">
        <v>16</v>
      </c>
      <c r="L79" s="25" t="s">
        <v>15</v>
      </c>
      <c r="M79" s="25" t="s">
        <v>16</v>
      </c>
      <c r="N79" s="25" t="s">
        <v>15</v>
      </c>
      <c r="O79" s="21" t="s">
        <v>16</v>
      </c>
      <c r="P79" s="24" t="s">
        <v>24</v>
      </c>
      <c r="Q79" s="24" t="s">
        <v>5</v>
      </c>
      <c r="R79" s="24" t="s">
        <v>8</v>
      </c>
      <c r="S79" s="24" t="s">
        <v>9</v>
      </c>
      <c r="T79" s="25" t="s">
        <v>14</v>
      </c>
    </row>
    <row r="80" spans="1:20" hidden="1" x14ac:dyDescent="0.25">
      <c r="A80" s="11" t="s">
        <v>59</v>
      </c>
      <c r="B80" s="11" t="s">
        <v>60</v>
      </c>
      <c r="C80" s="14" t="s">
        <v>61</v>
      </c>
      <c r="D80" s="11" t="s">
        <v>62</v>
      </c>
      <c r="E80" s="8" t="s">
        <v>63</v>
      </c>
      <c r="F80" s="9" t="s">
        <v>64</v>
      </c>
      <c r="G80" s="6" t="s">
        <v>65</v>
      </c>
      <c r="H80" s="6" t="s">
        <v>66</v>
      </c>
      <c r="I80" s="6" t="s">
        <v>67</v>
      </c>
      <c r="J80" s="6" t="s">
        <v>68</v>
      </c>
      <c r="K80" s="7" t="s">
        <v>69</v>
      </c>
      <c r="L80" s="6" t="s">
        <v>70</v>
      </c>
      <c r="M80" s="6" t="s">
        <v>71</v>
      </c>
      <c r="N80" s="6" t="s">
        <v>72</v>
      </c>
      <c r="O80" s="7" t="s">
        <v>73</v>
      </c>
      <c r="P80" s="13" t="s">
        <v>74</v>
      </c>
      <c r="Q80" s="5" t="s">
        <v>75</v>
      </c>
      <c r="R80" s="1" t="s">
        <v>76</v>
      </c>
      <c r="S80" s="1" t="s">
        <v>77</v>
      </c>
      <c r="T80" s="12" t="s">
        <v>78</v>
      </c>
    </row>
    <row r="81" spans="1:20" ht="76.5" x14ac:dyDescent="0.25">
      <c r="A81" s="11">
        <v>1</v>
      </c>
      <c r="B81" s="11" t="s">
        <v>109</v>
      </c>
      <c r="C81" s="14" t="s">
        <v>108</v>
      </c>
      <c r="D81" s="11" t="s">
        <v>4</v>
      </c>
      <c r="E81" s="8">
        <v>1</v>
      </c>
      <c r="F81" s="9">
        <v>62641.15</v>
      </c>
      <c r="G81" s="6">
        <f>F81*$E81</f>
        <v>62641.15</v>
      </c>
      <c r="H81" s="6"/>
      <c r="I81" s="6">
        <f>H81*$E81</f>
        <v>0</v>
      </c>
      <c r="J81" s="6"/>
      <c r="K81" s="7">
        <f>J81*$E81</f>
        <v>0</v>
      </c>
      <c r="L81" s="6"/>
      <c r="M81" s="6">
        <f>L81*$E81</f>
        <v>0</v>
      </c>
      <c r="N81" s="6"/>
      <c r="O81" s="7">
        <f>N81*$E81</f>
        <v>0</v>
      </c>
      <c r="P81" s="13">
        <f>MEDIAN(J81,H81,F81,L81,N81)</f>
        <v>62641.15</v>
      </c>
      <c r="Q81" s="5" t="str">
        <f>_xlfn.XLOOKUP(P81,F81:O81,$F$78:$O$78)</f>
        <v>SELCO ENGENHARIA LTDA</v>
      </c>
      <c r="R81" s="1" t="str">
        <f>_xlfn.XLOOKUP(Q81,'RELAÇÃO DE FORNECEDORES'!$A$3:$A$287,'RELAÇÃO DE FORNECEDORES'!$B$3:$B$287)</f>
        <v>01.303.940/0001-12</v>
      </c>
      <c r="S81" s="1" t="str">
        <f>_xlfn.XLOOKUP(Q81,'RELAÇÃO DE FORNECEDORES'!$A$3:$A$287,'RELAÇÃO DE FORNECEDORES'!$E$3:$E$287)</f>
        <v>GLADSON</v>
      </c>
      <c r="T81" s="12">
        <f>_xlfn.XLOOKUP(Q81,'RELAÇÃO DE FORNECEDORES'!$A$3:$A$287,'RELAÇÃO DE FORNECEDORES'!$C$3:$C$287)</f>
        <v>44467</v>
      </c>
    </row>
    <row r="85" spans="1:20" x14ac:dyDescent="0.25">
      <c r="A85" s="96" t="s">
        <v>114</v>
      </c>
      <c r="B85" s="96"/>
      <c r="C85" s="96"/>
      <c r="D85" s="96"/>
      <c r="E85" s="96"/>
      <c r="F85" s="96"/>
      <c r="G85" s="96"/>
      <c r="H85" s="96"/>
      <c r="I85" s="96"/>
      <c r="J85" s="96"/>
      <c r="K85" s="96"/>
      <c r="L85" s="96"/>
      <c r="M85" s="96"/>
      <c r="N85" s="96"/>
      <c r="O85" s="96"/>
      <c r="P85" s="96"/>
      <c r="Q85" s="96"/>
      <c r="R85" s="96"/>
      <c r="S85" s="96"/>
      <c r="T85" s="96"/>
    </row>
    <row r="86" spans="1:20" x14ac:dyDescent="0.25">
      <c r="A86" s="93" t="s">
        <v>27</v>
      </c>
      <c r="B86" s="93"/>
      <c r="C86" s="93"/>
      <c r="D86" s="93"/>
      <c r="E86" s="94"/>
      <c r="F86" s="95" t="s">
        <v>23</v>
      </c>
      <c r="G86" s="93"/>
      <c r="H86" s="93"/>
      <c r="I86" s="93"/>
      <c r="J86" s="93"/>
      <c r="K86" s="93"/>
      <c r="L86" s="93"/>
      <c r="M86" s="93"/>
      <c r="N86" s="93"/>
      <c r="O86" s="94"/>
      <c r="P86" s="78" t="s">
        <v>25</v>
      </c>
      <c r="Q86" s="78"/>
      <c r="R86" s="78"/>
      <c r="S86" s="78"/>
      <c r="T86" s="78"/>
    </row>
    <row r="87" spans="1:20" ht="72" customHeight="1" x14ac:dyDescent="0.25">
      <c r="A87" s="79" t="s">
        <v>1</v>
      </c>
      <c r="B87" s="79" t="s">
        <v>13</v>
      </c>
      <c r="C87" s="81" t="s">
        <v>0</v>
      </c>
      <c r="D87" s="79" t="s">
        <v>2</v>
      </c>
      <c r="E87" s="83" t="s">
        <v>17</v>
      </c>
      <c r="F87" s="85" t="s">
        <v>6</v>
      </c>
      <c r="G87" s="86"/>
      <c r="H87" s="86" t="s">
        <v>18</v>
      </c>
      <c r="I87" s="86"/>
      <c r="J87" s="86" t="s">
        <v>19</v>
      </c>
      <c r="K87" s="87"/>
      <c r="L87" s="86" t="s">
        <v>20</v>
      </c>
      <c r="M87" s="86"/>
      <c r="N87" s="86" t="s">
        <v>21</v>
      </c>
      <c r="O87" s="87"/>
      <c r="P87" s="88" t="s">
        <v>26</v>
      </c>
      <c r="Q87" s="79"/>
      <c r="R87" s="79"/>
      <c r="S87" s="79"/>
      <c r="T87" s="79"/>
    </row>
    <row r="88" spans="1:20" ht="72" customHeight="1" x14ac:dyDescent="0.25">
      <c r="A88" s="80"/>
      <c r="B88" s="80"/>
      <c r="C88" s="82"/>
      <c r="D88" s="80"/>
      <c r="E88" s="84"/>
      <c r="F88" s="90" t="s">
        <v>110</v>
      </c>
      <c r="G88" s="91"/>
      <c r="H88" s="91" t="s">
        <v>104</v>
      </c>
      <c r="I88" s="91"/>
      <c r="J88" s="91" t="s">
        <v>115</v>
      </c>
      <c r="K88" s="92"/>
      <c r="L88" s="91"/>
      <c r="M88" s="91"/>
      <c r="N88" s="91"/>
      <c r="O88" s="92"/>
      <c r="P88" s="89"/>
      <c r="Q88" s="78"/>
      <c r="R88" s="78"/>
      <c r="S88" s="78"/>
      <c r="T88" s="78"/>
    </row>
    <row r="89" spans="1:20" ht="25.5" x14ac:dyDescent="0.25">
      <c r="A89" s="80"/>
      <c r="B89" s="80"/>
      <c r="C89" s="82"/>
      <c r="D89" s="80"/>
      <c r="E89" s="18" t="s">
        <v>3</v>
      </c>
      <c r="F89" s="19" t="s">
        <v>15</v>
      </c>
      <c r="G89" s="25" t="s">
        <v>16</v>
      </c>
      <c r="H89" s="25" t="s">
        <v>15</v>
      </c>
      <c r="I89" s="25" t="s">
        <v>16</v>
      </c>
      <c r="J89" s="25" t="s">
        <v>15</v>
      </c>
      <c r="K89" s="21" t="s">
        <v>16</v>
      </c>
      <c r="L89" s="25" t="s">
        <v>15</v>
      </c>
      <c r="M89" s="25" t="s">
        <v>16</v>
      </c>
      <c r="N89" s="25" t="s">
        <v>15</v>
      </c>
      <c r="O89" s="21" t="s">
        <v>16</v>
      </c>
      <c r="P89" s="24" t="s">
        <v>24</v>
      </c>
      <c r="Q89" s="24" t="s">
        <v>5</v>
      </c>
      <c r="R89" s="24" t="s">
        <v>8</v>
      </c>
      <c r="S89" s="24" t="s">
        <v>9</v>
      </c>
      <c r="T89" s="25" t="s">
        <v>14</v>
      </c>
    </row>
    <row r="90" spans="1:20" hidden="1" x14ac:dyDescent="0.25">
      <c r="A90" s="11" t="s">
        <v>59</v>
      </c>
      <c r="B90" s="11" t="s">
        <v>60</v>
      </c>
      <c r="C90" s="14" t="s">
        <v>61</v>
      </c>
      <c r="D90" s="11" t="s">
        <v>62</v>
      </c>
      <c r="E90" s="8" t="s">
        <v>63</v>
      </c>
      <c r="F90" s="9" t="s">
        <v>64</v>
      </c>
      <c r="G90" s="6" t="s">
        <v>65</v>
      </c>
      <c r="H90" s="6" t="s">
        <v>66</v>
      </c>
      <c r="I90" s="6" t="s">
        <v>67</v>
      </c>
      <c r="J90" s="6" t="s">
        <v>68</v>
      </c>
      <c r="K90" s="7" t="s">
        <v>69</v>
      </c>
      <c r="L90" s="6" t="s">
        <v>70</v>
      </c>
      <c r="M90" s="6" t="s">
        <v>71</v>
      </c>
      <c r="N90" s="6" t="s">
        <v>72</v>
      </c>
      <c r="O90" s="7" t="s">
        <v>73</v>
      </c>
      <c r="P90" s="13" t="s">
        <v>74</v>
      </c>
      <c r="Q90" s="5" t="s">
        <v>75</v>
      </c>
      <c r="R90" s="1" t="s">
        <v>76</v>
      </c>
      <c r="S90" s="1" t="s">
        <v>77</v>
      </c>
      <c r="T90" s="12" t="s">
        <v>78</v>
      </c>
    </row>
    <row r="91" spans="1:20" ht="25.5" x14ac:dyDescent="0.25">
      <c r="A91" s="11">
        <v>1</v>
      </c>
      <c r="B91" s="11" t="s">
        <v>121</v>
      </c>
      <c r="C91" s="14" t="s">
        <v>119</v>
      </c>
      <c r="D91" s="11" t="s">
        <v>4</v>
      </c>
      <c r="E91" s="8">
        <v>2</v>
      </c>
      <c r="F91" s="9">
        <v>183125.02</v>
      </c>
      <c r="G91" s="6">
        <f>F91*$E91</f>
        <v>366250.04</v>
      </c>
      <c r="H91" s="6">
        <v>154888</v>
      </c>
      <c r="I91" s="6">
        <f>H91*$E91</f>
        <v>309776</v>
      </c>
      <c r="J91" s="6">
        <v>229080</v>
      </c>
      <c r="K91" s="7">
        <f>J91*$E91</f>
        <v>458160</v>
      </c>
      <c r="L91" s="6"/>
      <c r="M91" s="6">
        <f>L91*$E91</f>
        <v>0</v>
      </c>
      <c r="N91" s="6"/>
      <c r="O91" s="7">
        <f>N91*$E91</f>
        <v>0</v>
      </c>
      <c r="P91" s="13">
        <f>MEDIAN(J91,H91,F91,L91,N91)</f>
        <v>183125.02</v>
      </c>
      <c r="Q91" s="5" t="str">
        <f>_xlfn.XLOOKUP(P91,F91:O91,$F$78:$O$78)</f>
        <v>SELCO ENGENHARIA LTDA</v>
      </c>
      <c r="R91" s="1" t="str">
        <f>_xlfn.XLOOKUP(Q91,'RELAÇÃO DE FORNECEDORES'!$A$3:$A$287,'RELAÇÃO DE FORNECEDORES'!$B$3:$B$287)</f>
        <v>01.303.940/0001-12</v>
      </c>
      <c r="S91" s="1" t="str">
        <f>_xlfn.XLOOKUP(Q91,'RELAÇÃO DE FORNECEDORES'!$A$3:$A$287,'RELAÇÃO DE FORNECEDORES'!$E$3:$E$287)</f>
        <v>GLADSON</v>
      </c>
      <c r="T91" s="12">
        <f>_xlfn.XLOOKUP(Q91,'RELAÇÃO DE FORNECEDORES'!$A$3:$A$287,'RELAÇÃO DE FORNECEDORES'!$C$3:$C$287)</f>
        <v>44467</v>
      </c>
    </row>
  </sheetData>
  <mergeCells count="140">
    <mergeCell ref="J6:K6"/>
    <mergeCell ref="L6:M6"/>
    <mergeCell ref="N6:O6"/>
    <mergeCell ref="P6:T7"/>
    <mergeCell ref="A45:T45"/>
    <mergeCell ref="A4:T4"/>
    <mergeCell ref="A5:E5"/>
    <mergeCell ref="F5:O5"/>
    <mergeCell ref="P5:T5"/>
    <mergeCell ref="A6:A8"/>
    <mergeCell ref="B6:B8"/>
    <mergeCell ref="C6:C8"/>
    <mergeCell ref="D6:D8"/>
    <mergeCell ref="E6:E7"/>
    <mergeCell ref="F6:G6"/>
    <mergeCell ref="F7:G7"/>
    <mergeCell ref="H7:I7"/>
    <mergeCell ref="J7:K7"/>
    <mergeCell ref="L7:M7"/>
    <mergeCell ref="N7:O7"/>
    <mergeCell ref="H6:I6"/>
    <mergeCell ref="A35:T35"/>
    <mergeCell ref="A36:E36"/>
    <mergeCell ref="F36:O36"/>
    <mergeCell ref="E57:E58"/>
    <mergeCell ref="L47:M47"/>
    <mergeCell ref="N47:O47"/>
    <mergeCell ref="P47:T48"/>
    <mergeCell ref="A55:T55"/>
    <mergeCell ref="A56:E56"/>
    <mergeCell ref="F56:O56"/>
    <mergeCell ref="P56:T56"/>
    <mergeCell ref="A46:E46"/>
    <mergeCell ref="F46:O46"/>
    <mergeCell ref="P46:T46"/>
    <mergeCell ref="A47:A49"/>
    <mergeCell ref="B47:B49"/>
    <mergeCell ref="C47:C49"/>
    <mergeCell ref="D47:D49"/>
    <mergeCell ref="E47:E48"/>
    <mergeCell ref="F47:G47"/>
    <mergeCell ref="F48:G48"/>
    <mergeCell ref="H48:I48"/>
    <mergeCell ref="J48:K48"/>
    <mergeCell ref="L48:M48"/>
    <mergeCell ref="N48:O48"/>
    <mergeCell ref="H47:I47"/>
    <mergeCell ref="J47:K47"/>
    <mergeCell ref="A67:A69"/>
    <mergeCell ref="B67:B69"/>
    <mergeCell ref="C67:C69"/>
    <mergeCell ref="D67:D69"/>
    <mergeCell ref="E67:E68"/>
    <mergeCell ref="P57:T58"/>
    <mergeCell ref="A65:T65"/>
    <mergeCell ref="A66:E66"/>
    <mergeCell ref="F66:O66"/>
    <mergeCell ref="P66:T66"/>
    <mergeCell ref="N58:O58"/>
    <mergeCell ref="H57:I57"/>
    <mergeCell ref="J57:K57"/>
    <mergeCell ref="L57:M57"/>
    <mergeCell ref="N57:O57"/>
    <mergeCell ref="F57:G57"/>
    <mergeCell ref="F58:G58"/>
    <mergeCell ref="H58:I58"/>
    <mergeCell ref="J58:K58"/>
    <mergeCell ref="L58:M58"/>
    <mergeCell ref="A57:A59"/>
    <mergeCell ref="B57:B59"/>
    <mergeCell ref="C57:C59"/>
    <mergeCell ref="D57:D59"/>
    <mergeCell ref="P67:T68"/>
    <mergeCell ref="N68:O68"/>
    <mergeCell ref="H67:I67"/>
    <mergeCell ref="J67:K67"/>
    <mergeCell ref="L67:M67"/>
    <mergeCell ref="N67:O67"/>
    <mergeCell ref="F67:G67"/>
    <mergeCell ref="F68:G68"/>
    <mergeCell ref="H68:I68"/>
    <mergeCell ref="J68:K68"/>
    <mergeCell ref="L68:M68"/>
    <mergeCell ref="H78:I78"/>
    <mergeCell ref="J78:K78"/>
    <mergeCell ref="L78:M78"/>
    <mergeCell ref="N78:O78"/>
    <mergeCell ref="A85:T85"/>
    <mergeCell ref="A75:T75"/>
    <mergeCell ref="A76:E76"/>
    <mergeCell ref="F76:O76"/>
    <mergeCell ref="P76:T76"/>
    <mergeCell ref="A77:A79"/>
    <mergeCell ref="B77:B79"/>
    <mergeCell ref="C77:C79"/>
    <mergeCell ref="D77:D79"/>
    <mergeCell ref="E77:E78"/>
    <mergeCell ref="F77:G77"/>
    <mergeCell ref="H77:I77"/>
    <mergeCell ref="J77:K77"/>
    <mergeCell ref="L77:M77"/>
    <mergeCell ref="N77:O77"/>
    <mergeCell ref="P77:T78"/>
    <mergeCell ref="F78:G78"/>
    <mergeCell ref="J88:K88"/>
    <mergeCell ref="L88:M88"/>
    <mergeCell ref="N88:O88"/>
    <mergeCell ref="A86:E86"/>
    <mergeCell ref="F86:O86"/>
    <mergeCell ref="P86:T86"/>
    <mergeCell ref="A87:A89"/>
    <mergeCell ref="B87:B89"/>
    <mergeCell ref="C87:C89"/>
    <mergeCell ref="D87:D89"/>
    <mergeCell ref="E87:E88"/>
    <mergeCell ref="F87:G87"/>
    <mergeCell ref="H87:I87"/>
    <mergeCell ref="J87:K87"/>
    <mergeCell ref="L87:M87"/>
    <mergeCell ref="N87:O87"/>
    <mergeCell ref="P87:T88"/>
    <mergeCell ref="F88:G88"/>
    <mergeCell ref="H88:I88"/>
    <mergeCell ref="P36:T36"/>
    <mergeCell ref="A37:A39"/>
    <mergeCell ref="B37:B39"/>
    <mergeCell ref="C37:C39"/>
    <mergeCell ref="D37:D39"/>
    <mergeCell ref="E37:E38"/>
    <mergeCell ref="F37:G37"/>
    <mergeCell ref="H37:I37"/>
    <mergeCell ref="J37:K37"/>
    <mergeCell ref="L37:M37"/>
    <mergeCell ref="N37:O37"/>
    <mergeCell ref="P37:T38"/>
    <mergeCell ref="F38:G38"/>
    <mergeCell ref="H38:I38"/>
    <mergeCell ref="J38:K38"/>
    <mergeCell ref="L38:M38"/>
    <mergeCell ref="N38:O38"/>
  </mergeCells>
  <phoneticPr fontId="7" type="noConversion"/>
  <pageMargins left="0.511811024" right="0.511811024" top="0.78740157499999996" bottom="0.78740157499999996" header="0.31496062000000002" footer="0.31496062000000002"/>
  <pageSetup paperSize="9" scale="55" orientation="landscape" horizontalDpi="4294967292" r:id="rId1"/>
  <tableParts count="7">
    <tablePart r:id="rId2"/>
    <tablePart r:id="rId3"/>
    <tablePart r:id="rId4"/>
    <tablePart r:id="rId5"/>
    <tablePart r:id="rId6"/>
    <tablePart r:id="rId7"/>
    <tablePart r:id="rId8"/>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'RELAÇÃO DE FORNECEDORES'!$A$3:$A$360</xm:f>
          </x14:formula1>
          <xm:sqref>F7:O7 F48:O48 F58:O58 F68:O68 F78:O78 F88:O88 F38:O38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showWhiteSpace="0" view="pageLayout" topLeftCell="A92" zoomScale="70" zoomScaleNormal="60" zoomScalePageLayoutView="70" workbookViewId="0">
      <selection activeCell="C102" sqref="C102"/>
    </sheetView>
  </sheetViews>
  <sheetFormatPr defaultColWidth="9.140625" defaultRowHeight="12.75" x14ac:dyDescent="0.25"/>
  <cols>
    <col min="1" max="1" width="11.85546875" style="1" customWidth="1"/>
    <col min="2" max="2" width="9.7109375" style="1" customWidth="1"/>
    <col min="3" max="3" width="35.7109375" style="2" customWidth="1"/>
    <col min="4" max="4" width="9.7109375" style="1" customWidth="1"/>
    <col min="5" max="5" width="10.7109375" style="3" customWidth="1"/>
    <col min="6" max="11" width="15.28515625" style="3" customWidth="1"/>
    <col min="12" max="15" width="15.28515625" style="3" hidden="1" customWidth="1"/>
    <col min="16" max="16" width="15.28515625" style="3" customWidth="1"/>
    <col min="17" max="17" width="31.85546875" style="3" customWidth="1"/>
    <col min="18" max="18" width="19.85546875" style="3" customWidth="1"/>
    <col min="19" max="19" width="22.5703125" style="3" customWidth="1"/>
    <col min="20" max="20" width="12" style="3" customWidth="1"/>
    <col min="21" max="16384" width="9.140625" style="3"/>
  </cols>
  <sheetData>
    <row r="1" spans="1:20" x14ac:dyDescent="0.25">
      <c r="A1" s="17" t="s">
        <v>52</v>
      </c>
      <c r="B1" s="16" t="s">
        <v>54</v>
      </c>
    </row>
    <row r="2" spans="1:20" x14ac:dyDescent="0.25">
      <c r="A2" s="17" t="s">
        <v>53</v>
      </c>
      <c r="B2" s="16" t="s">
        <v>120</v>
      </c>
    </row>
    <row r="3" spans="1:20" x14ac:dyDescent="0.25">
      <c r="A3" s="17"/>
      <c r="B3" s="16"/>
    </row>
    <row r="4" spans="1:20" x14ac:dyDescent="0.25">
      <c r="A4" s="96" t="s">
        <v>122</v>
      </c>
      <c r="B4" s="96"/>
      <c r="C4" s="96"/>
      <c r="D4" s="96"/>
      <c r="E4" s="96"/>
      <c r="F4" s="96"/>
      <c r="G4" s="96"/>
      <c r="H4" s="96"/>
      <c r="I4" s="96"/>
      <c r="J4" s="96"/>
      <c r="K4" s="96"/>
      <c r="L4" s="96"/>
      <c r="M4" s="96"/>
      <c r="N4" s="96"/>
      <c r="O4" s="96"/>
      <c r="P4" s="96"/>
      <c r="Q4" s="96"/>
      <c r="R4" s="96"/>
      <c r="S4" s="96"/>
      <c r="T4" s="96"/>
    </row>
    <row r="5" spans="1:20" x14ac:dyDescent="0.25">
      <c r="A5" s="93" t="s">
        <v>27</v>
      </c>
      <c r="B5" s="93"/>
      <c r="C5" s="93"/>
      <c r="D5" s="93"/>
      <c r="E5" s="94"/>
      <c r="F5" s="95" t="s">
        <v>23</v>
      </c>
      <c r="G5" s="93"/>
      <c r="H5" s="93"/>
      <c r="I5" s="93"/>
      <c r="J5" s="93"/>
      <c r="K5" s="93"/>
      <c r="L5" s="93"/>
      <c r="M5" s="93"/>
      <c r="N5" s="93"/>
      <c r="O5" s="94"/>
      <c r="P5" s="78" t="s">
        <v>25</v>
      </c>
      <c r="Q5" s="78"/>
      <c r="R5" s="78"/>
      <c r="S5" s="78"/>
      <c r="T5" s="78"/>
    </row>
    <row r="6" spans="1:20" ht="60" customHeight="1" x14ac:dyDescent="0.25">
      <c r="A6" s="79" t="s">
        <v>1</v>
      </c>
      <c r="B6" s="79" t="s">
        <v>13</v>
      </c>
      <c r="C6" s="81" t="s">
        <v>0</v>
      </c>
      <c r="D6" s="79" t="s">
        <v>2</v>
      </c>
      <c r="E6" s="83" t="s">
        <v>17</v>
      </c>
      <c r="F6" s="85" t="s">
        <v>6</v>
      </c>
      <c r="G6" s="86"/>
      <c r="H6" s="86" t="s">
        <v>18</v>
      </c>
      <c r="I6" s="86"/>
      <c r="J6" s="86" t="s">
        <v>19</v>
      </c>
      <c r="K6" s="87"/>
      <c r="L6" s="86" t="s">
        <v>20</v>
      </c>
      <c r="M6" s="86"/>
      <c r="N6" s="86" t="s">
        <v>21</v>
      </c>
      <c r="O6" s="87"/>
      <c r="P6" s="88" t="s">
        <v>26</v>
      </c>
      <c r="Q6" s="79"/>
      <c r="R6" s="79"/>
      <c r="S6" s="79"/>
      <c r="T6" s="79"/>
    </row>
    <row r="7" spans="1:20" ht="42.75" customHeight="1" x14ac:dyDescent="0.25">
      <c r="A7" s="80"/>
      <c r="B7" s="80"/>
      <c r="C7" s="82"/>
      <c r="D7" s="80"/>
      <c r="E7" s="84"/>
      <c r="F7" s="90" t="s">
        <v>31</v>
      </c>
      <c r="G7" s="91"/>
      <c r="H7" s="91" t="s">
        <v>464</v>
      </c>
      <c r="I7" s="91"/>
      <c r="J7" s="91" t="s">
        <v>46</v>
      </c>
      <c r="K7" s="92"/>
      <c r="L7" s="91"/>
      <c r="M7" s="91"/>
      <c r="N7" s="91"/>
      <c r="O7" s="92"/>
      <c r="P7" s="89"/>
      <c r="Q7" s="78"/>
      <c r="R7" s="78"/>
      <c r="S7" s="78"/>
      <c r="T7" s="78"/>
    </row>
    <row r="8" spans="1:20" s="4" customFormat="1" ht="25.5" x14ac:dyDescent="0.25">
      <c r="A8" s="80"/>
      <c r="B8" s="80"/>
      <c r="C8" s="82"/>
      <c r="D8" s="80"/>
      <c r="E8" s="18" t="s">
        <v>3</v>
      </c>
      <c r="F8" s="19" t="s">
        <v>15</v>
      </c>
      <c r="G8" s="25" t="s">
        <v>16</v>
      </c>
      <c r="H8" s="25" t="s">
        <v>15</v>
      </c>
      <c r="I8" s="25" t="s">
        <v>16</v>
      </c>
      <c r="J8" s="25" t="s">
        <v>15</v>
      </c>
      <c r="K8" s="21" t="s">
        <v>16</v>
      </c>
      <c r="L8" s="25" t="s">
        <v>15</v>
      </c>
      <c r="M8" s="25" t="s">
        <v>16</v>
      </c>
      <c r="N8" s="25" t="s">
        <v>15</v>
      </c>
      <c r="O8" s="21" t="s">
        <v>16</v>
      </c>
      <c r="P8" s="24" t="s">
        <v>24</v>
      </c>
      <c r="Q8" s="24" t="s">
        <v>5</v>
      </c>
      <c r="R8" s="24" t="s">
        <v>8</v>
      </c>
      <c r="S8" s="24" t="s">
        <v>9</v>
      </c>
      <c r="T8" s="25" t="s">
        <v>14</v>
      </c>
    </row>
    <row r="9" spans="1:20" hidden="1" x14ac:dyDescent="0.25">
      <c r="A9" s="11" t="s">
        <v>59</v>
      </c>
      <c r="B9" s="11" t="s">
        <v>60</v>
      </c>
      <c r="C9" s="14" t="s">
        <v>61</v>
      </c>
      <c r="D9" s="11" t="s">
        <v>62</v>
      </c>
      <c r="E9" s="8" t="s">
        <v>63</v>
      </c>
      <c r="F9" s="9" t="s">
        <v>64</v>
      </c>
      <c r="G9" s="6" t="s">
        <v>65</v>
      </c>
      <c r="H9" s="6" t="s">
        <v>66</v>
      </c>
      <c r="I9" s="6" t="s">
        <v>67</v>
      </c>
      <c r="J9" s="6" t="s">
        <v>68</v>
      </c>
      <c r="K9" s="7" t="s">
        <v>69</v>
      </c>
      <c r="L9" s="6" t="s">
        <v>70</v>
      </c>
      <c r="M9" s="6" t="s">
        <v>71</v>
      </c>
      <c r="N9" s="6" t="s">
        <v>72</v>
      </c>
      <c r="O9" s="7" t="s">
        <v>73</v>
      </c>
      <c r="P9" s="13" t="s">
        <v>74</v>
      </c>
      <c r="Q9" s="5" t="s">
        <v>75</v>
      </c>
      <c r="R9" s="1" t="s">
        <v>76</v>
      </c>
      <c r="S9" s="1" t="s">
        <v>77</v>
      </c>
      <c r="T9" s="12" t="s">
        <v>78</v>
      </c>
    </row>
    <row r="10" spans="1:20" ht="38.25" x14ac:dyDescent="0.25">
      <c r="A10" s="11">
        <v>1</v>
      </c>
      <c r="B10" s="11" t="s">
        <v>154</v>
      </c>
      <c r="C10" s="14" t="s">
        <v>153</v>
      </c>
      <c r="D10" s="11" t="s">
        <v>4</v>
      </c>
      <c r="E10" s="8">
        <v>1</v>
      </c>
      <c r="F10" s="9">
        <v>2207624.37</v>
      </c>
      <c r="G10" s="6">
        <f>F10*$E10</f>
        <v>2207624.37</v>
      </c>
      <c r="H10" s="6">
        <v>3275873.82</v>
      </c>
      <c r="I10" s="6">
        <f>H10*$E10</f>
        <v>3275873.82</v>
      </c>
      <c r="J10" s="6">
        <v>3422874.93</v>
      </c>
      <c r="K10" s="7">
        <f>J10*$E10</f>
        <v>3422874.93</v>
      </c>
      <c r="L10" s="6"/>
      <c r="M10" s="6">
        <f>L10*$E10</f>
        <v>0</v>
      </c>
      <c r="N10" s="6"/>
      <c r="O10" s="7">
        <f>N10*$E10</f>
        <v>0</v>
      </c>
      <c r="P10" s="13">
        <f>MEDIAN(J10,H10,F10,L10,N10)</f>
        <v>3275873.82</v>
      </c>
      <c r="Q10" s="5" t="str">
        <f>_xlfn.XLOOKUP(P10,F10:O10,$F$7:$O$7)</f>
        <v>SVG METALURGICA</v>
      </c>
      <c r="R10" s="1" t="str">
        <f>_xlfn.XLOOKUP(Q10,'RELAÇÃO DE FORNECEDORES'!$A$3:$A$287,'RELAÇÃO DE FORNECEDORES'!$B$3:$B$287)</f>
        <v>09.001.481/0001-24</v>
      </c>
      <c r="S10" s="1" t="str">
        <f>_xlfn.XLOOKUP(Q10,'RELAÇÃO DE FORNECEDORES'!$A$3:$A$287,'RELAÇÃO DE FORNECEDORES'!$E$3:$E$287)</f>
        <v>IRLAN</v>
      </c>
      <c r="T10" s="12">
        <f>_xlfn.XLOOKUP(Q10,'RELAÇÃO DE FORNECEDORES'!$A$3:$A$287,'RELAÇÃO DE FORNECEDORES'!$C$3:$C$287)</f>
        <v>44207</v>
      </c>
    </row>
    <row r="11" spans="1:20" ht="38.25" x14ac:dyDescent="0.25">
      <c r="A11" s="11">
        <v>2</v>
      </c>
      <c r="B11" s="11" t="s">
        <v>156</v>
      </c>
      <c r="C11" s="14" t="s">
        <v>155</v>
      </c>
      <c r="D11" s="11" t="s">
        <v>4</v>
      </c>
      <c r="E11" s="8">
        <v>1</v>
      </c>
      <c r="F11" s="9">
        <v>1427711.3</v>
      </c>
      <c r="G11" s="6">
        <f t="shared" ref="G11:G15" si="0">F11*$E11</f>
        <v>1427711.3</v>
      </c>
      <c r="H11" s="6">
        <v>2091332.72</v>
      </c>
      <c r="I11" s="6">
        <f t="shared" ref="I11:I15" si="1">H11*$E11</f>
        <v>2091332.72</v>
      </c>
      <c r="J11" s="6">
        <v>2231642.13</v>
      </c>
      <c r="K11" s="7">
        <f t="shared" ref="K11:K15" si="2">J11*$E11</f>
        <v>2231642.13</v>
      </c>
      <c r="L11" s="6"/>
      <c r="M11" s="6">
        <f t="shared" ref="M11:M15" si="3">L11*$E11</f>
        <v>0</v>
      </c>
      <c r="N11" s="6"/>
      <c r="O11" s="7">
        <f t="shared" ref="O11:O15" si="4">N11*$E11</f>
        <v>0</v>
      </c>
      <c r="P11" s="13">
        <f t="shared" ref="P11:P15" si="5">MEDIAN(J11,H11,F11,L11,N11)</f>
        <v>2091332.72</v>
      </c>
      <c r="Q11" s="5" t="str">
        <f t="shared" ref="Q11:Q15" si="6">_xlfn.XLOOKUP(P11,F11:O11,$F$7:$O$7)</f>
        <v>SVG METALURGICA</v>
      </c>
      <c r="R11" s="1" t="str">
        <f>_xlfn.XLOOKUP(Q11,'RELAÇÃO DE FORNECEDORES'!$A$3:$A$287,'RELAÇÃO DE FORNECEDORES'!$B$3:$B$287)</f>
        <v>09.001.481/0001-24</v>
      </c>
      <c r="S11" s="1" t="str">
        <f>_xlfn.XLOOKUP(Q11,'RELAÇÃO DE FORNECEDORES'!$A$3:$A$287,'RELAÇÃO DE FORNECEDORES'!$E$3:$E$287)</f>
        <v>IRLAN</v>
      </c>
      <c r="T11" s="12">
        <f>_xlfn.XLOOKUP(Q11,'RELAÇÃO DE FORNECEDORES'!$A$3:$A$287,'RELAÇÃO DE FORNECEDORES'!$C$3:$C$287)</f>
        <v>44207</v>
      </c>
    </row>
    <row r="12" spans="1:20" ht="51" x14ac:dyDescent="0.25">
      <c r="A12" s="11">
        <v>3</v>
      </c>
      <c r="B12" s="11" t="s">
        <v>158</v>
      </c>
      <c r="C12" s="14" t="s">
        <v>157</v>
      </c>
      <c r="D12" s="11" t="s">
        <v>4</v>
      </c>
      <c r="E12" s="8">
        <v>1</v>
      </c>
      <c r="F12" s="9">
        <v>132374.85</v>
      </c>
      <c r="G12" s="6">
        <f t="shared" si="0"/>
        <v>132374.85</v>
      </c>
      <c r="H12" s="6">
        <v>194755</v>
      </c>
      <c r="I12" s="6">
        <f t="shared" si="1"/>
        <v>194755</v>
      </c>
      <c r="J12" s="6">
        <v>201347.52</v>
      </c>
      <c r="K12" s="7">
        <f t="shared" si="2"/>
        <v>201347.52</v>
      </c>
      <c r="L12" s="6"/>
      <c r="M12" s="6">
        <f t="shared" si="3"/>
        <v>0</v>
      </c>
      <c r="N12" s="6"/>
      <c r="O12" s="7">
        <f t="shared" si="4"/>
        <v>0</v>
      </c>
      <c r="P12" s="13">
        <f t="shared" si="5"/>
        <v>194755</v>
      </c>
      <c r="Q12" s="5" t="str">
        <f t="shared" si="6"/>
        <v>SVG METALURGICA</v>
      </c>
      <c r="R12" s="1" t="str">
        <f>_xlfn.XLOOKUP(Q12,'RELAÇÃO DE FORNECEDORES'!$A$3:$A$287,'RELAÇÃO DE FORNECEDORES'!$B$3:$B$287)</f>
        <v>09.001.481/0001-24</v>
      </c>
      <c r="S12" s="1" t="str">
        <f>_xlfn.XLOOKUP(Q12,'RELAÇÃO DE FORNECEDORES'!$A$3:$A$287,'RELAÇÃO DE FORNECEDORES'!$E$3:$E$287)</f>
        <v>IRLAN</v>
      </c>
      <c r="T12" s="12">
        <f>_xlfn.XLOOKUP(Q12,'RELAÇÃO DE FORNECEDORES'!$A$3:$A$287,'RELAÇÃO DE FORNECEDORES'!$C$3:$C$287)</f>
        <v>44207</v>
      </c>
    </row>
    <row r="13" spans="1:20" ht="38.25" x14ac:dyDescent="0.25">
      <c r="A13" s="11">
        <v>4</v>
      </c>
      <c r="B13" s="11" t="s">
        <v>160</v>
      </c>
      <c r="C13" s="14" t="s">
        <v>159</v>
      </c>
      <c r="D13" s="11" t="s">
        <v>4</v>
      </c>
      <c r="E13" s="8">
        <v>1</v>
      </c>
      <c r="F13" s="9">
        <v>1043114.95</v>
      </c>
      <c r="G13" s="6">
        <f t="shared" si="0"/>
        <v>1043114.95</v>
      </c>
      <c r="H13" s="6">
        <v>1518974.54</v>
      </c>
      <c r="I13" s="6">
        <f t="shared" si="1"/>
        <v>1518974.54</v>
      </c>
      <c r="J13" s="6">
        <v>1585690.86</v>
      </c>
      <c r="K13" s="7">
        <f t="shared" si="2"/>
        <v>1585690.86</v>
      </c>
      <c r="L13" s="6"/>
      <c r="M13" s="6">
        <f t="shared" si="3"/>
        <v>0</v>
      </c>
      <c r="N13" s="6"/>
      <c r="O13" s="7">
        <f t="shared" si="4"/>
        <v>0</v>
      </c>
      <c r="P13" s="13">
        <f t="shared" si="5"/>
        <v>1518974.54</v>
      </c>
      <c r="Q13" s="5" t="str">
        <f t="shared" si="6"/>
        <v>SVG METALURGICA</v>
      </c>
      <c r="R13" s="1" t="str">
        <f>_xlfn.XLOOKUP(Q13,'RELAÇÃO DE FORNECEDORES'!$A$3:$A$287,'RELAÇÃO DE FORNECEDORES'!$B$3:$B$287)</f>
        <v>09.001.481/0001-24</v>
      </c>
      <c r="S13" s="1" t="str">
        <f>_xlfn.XLOOKUP(Q13,'RELAÇÃO DE FORNECEDORES'!$A$3:$A$287,'RELAÇÃO DE FORNECEDORES'!$E$3:$E$287)</f>
        <v>IRLAN</v>
      </c>
      <c r="T13" s="12">
        <f>_xlfn.XLOOKUP(Q13,'RELAÇÃO DE FORNECEDORES'!$A$3:$A$287,'RELAÇÃO DE FORNECEDORES'!$C$3:$C$287)</f>
        <v>44207</v>
      </c>
    </row>
    <row r="14" spans="1:20" ht="63.75" x14ac:dyDescent="0.25">
      <c r="A14" s="11">
        <v>5</v>
      </c>
      <c r="B14" s="11" t="s">
        <v>162</v>
      </c>
      <c r="C14" s="14" t="s">
        <v>161</v>
      </c>
      <c r="D14" s="11" t="s">
        <v>4</v>
      </c>
      <c r="E14" s="8">
        <v>1</v>
      </c>
      <c r="F14" s="9">
        <v>291660.90999999997</v>
      </c>
      <c r="G14" s="6">
        <f t="shared" si="0"/>
        <v>291660.90999999997</v>
      </c>
      <c r="H14" s="6">
        <v>445703.45</v>
      </c>
      <c r="I14" s="6">
        <f t="shared" si="1"/>
        <v>445703.45</v>
      </c>
      <c r="J14" s="6">
        <v>474314.81</v>
      </c>
      <c r="K14" s="7">
        <f t="shared" si="2"/>
        <v>474314.81</v>
      </c>
      <c r="L14" s="6"/>
      <c r="M14" s="6">
        <f t="shared" si="3"/>
        <v>0</v>
      </c>
      <c r="N14" s="6"/>
      <c r="O14" s="7">
        <f t="shared" si="4"/>
        <v>0</v>
      </c>
      <c r="P14" s="13">
        <f t="shared" si="5"/>
        <v>445703.45</v>
      </c>
      <c r="Q14" s="5" t="str">
        <f t="shared" si="6"/>
        <v>SVG METALURGICA</v>
      </c>
      <c r="R14" s="1" t="str">
        <f>_xlfn.XLOOKUP(Q14,'RELAÇÃO DE FORNECEDORES'!$A$3:$A$287,'RELAÇÃO DE FORNECEDORES'!$B$3:$B$287)</f>
        <v>09.001.481/0001-24</v>
      </c>
      <c r="S14" s="1" t="str">
        <f>_xlfn.XLOOKUP(Q14,'RELAÇÃO DE FORNECEDORES'!$A$3:$A$287,'RELAÇÃO DE FORNECEDORES'!$E$3:$E$287)</f>
        <v>IRLAN</v>
      </c>
      <c r="T14" s="12">
        <f>_xlfn.XLOOKUP(Q14,'RELAÇÃO DE FORNECEDORES'!$A$3:$A$287,'RELAÇÃO DE FORNECEDORES'!$C$3:$C$287)</f>
        <v>44207</v>
      </c>
    </row>
    <row r="15" spans="1:20" ht="63.75" x14ac:dyDescent="0.25">
      <c r="A15" s="11">
        <v>6</v>
      </c>
      <c r="B15" s="11" t="s">
        <v>164</v>
      </c>
      <c r="C15" s="14" t="s">
        <v>163</v>
      </c>
      <c r="D15" s="11" t="s">
        <v>4</v>
      </c>
      <c r="E15" s="8">
        <v>1</v>
      </c>
      <c r="F15" s="9">
        <v>397246.63</v>
      </c>
      <c r="G15" s="6">
        <f t="shared" si="0"/>
        <v>397246.63</v>
      </c>
      <c r="H15" s="6">
        <v>565642.36</v>
      </c>
      <c r="I15" s="6">
        <f t="shared" si="1"/>
        <v>565642.36</v>
      </c>
      <c r="J15" s="6">
        <v>476299.82</v>
      </c>
      <c r="K15" s="7">
        <f t="shared" si="2"/>
        <v>476299.82</v>
      </c>
      <c r="L15" s="6"/>
      <c r="M15" s="6">
        <f t="shared" si="3"/>
        <v>0</v>
      </c>
      <c r="N15" s="6"/>
      <c r="O15" s="7">
        <f t="shared" si="4"/>
        <v>0</v>
      </c>
      <c r="P15" s="13">
        <f t="shared" si="5"/>
        <v>476299.82</v>
      </c>
      <c r="Q15" s="5" t="str">
        <f t="shared" si="6"/>
        <v>TECNESANI CONSTRUÇÃO CIVIL LTDA - ME</v>
      </c>
      <c r="R15" s="1" t="str">
        <f>_xlfn.XLOOKUP(Q15,'RELAÇÃO DE FORNECEDORES'!$A$3:$A$287,'RELAÇÃO DE FORNECEDORES'!$B$3:$B$287)</f>
        <v>10.779.152/0001-98</v>
      </c>
      <c r="S15" s="1" t="str">
        <f>_xlfn.XLOOKUP(Q15,'RELAÇÃO DE FORNECEDORES'!$A$3:$A$287,'RELAÇÃO DE FORNECEDORES'!$E$3:$E$287)</f>
        <v>BENEDITO LEITE</v>
      </c>
      <c r="T15" s="12">
        <f>_xlfn.XLOOKUP(Q15,'RELAÇÃO DE FORNECEDORES'!$A$3:$A$287,'RELAÇÃO DE FORNECEDORES'!$C$3:$C$287)</f>
        <v>44425</v>
      </c>
    </row>
    <row r="16" spans="1:20" x14ac:dyDescent="0.25">
      <c r="L16" s="10"/>
      <c r="N16" s="6"/>
    </row>
    <row r="17" spans="1:20" x14ac:dyDescent="0.25">
      <c r="H17" s="15"/>
      <c r="L17" s="10"/>
      <c r="N17" s="6"/>
    </row>
    <row r="18" spans="1:20" x14ac:dyDescent="0.25">
      <c r="L18" s="10"/>
    </row>
    <row r="19" spans="1:20" x14ac:dyDescent="0.25">
      <c r="A19" s="96" t="s">
        <v>126</v>
      </c>
      <c r="B19" s="96"/>
      <c r="C19" s="96"/>
      <c r="D19" s="96"/>
      <c r="E19" s="96"/>
      <c r="F19" s="96"/>
      <c r="G19" s="96"/>
      <c r="H19" s="96"/>
      <c r="I19" s="96"/>
      <c r="J19" s="96"/>
      <c r="K19" s="96"/>
      <c r="L19" s="96"/>
      <c r="M19" s="96"/>
      <c r="N19" s="96"/>
      <c r="O19" s="96"/>
      <c r="P19" s="96"/>
      <c r="Q19" s="96"/>
      <c r="R19" s="96"/>
      <c r="S19" s="96"/>
      <c r="T19" s="96"/>
    </row>
    <row r="20" spans="1:20" x14ac:dyDescent="0.25">
      <c r="A20" s="93" t="s">
        <v>27</v>
      </c>
      <c r="B20" s="93"/>
      <c r="C20" s="93"/>
      <c r="D20" s="93"/>
      <c r="E20" s="94"/>
      <c r="F20" s="95" t="s">
        <v>23</v>
      </c>
      <c r="G20" s="93"/>
      <c r="H20" s="93"/>
      <c r="I20" s="93"/>
      <c r="J20" s="93"/>
      <c r="K20" s="93"/>
      <c r="L20" s="93"/>
      <c r="M20" s="93"/>
      <c r="N20" s="93"/>
      <c r="O20" s="94"/>
      <c r="P20" s="78" t="s">
        <v>25</v>
      </c>
      <c r="Q20" s="78"/>
      <c r="R20" s="78"/>
      <c r="S20" s="78"/>
      <c r="T20" s="78"/>
    </row>
    <row r="21" spans="1:20" ht="53.25" customHeight="1" x14ac:dyDescent="0.25">
      <c r="A21" s="79" t="s">
        <v>1</v>
      </c>
      <c r="B21" s="79" t="s">
        <v>13</v>
      </c>
      <c r="C21" s="81" t="s">
        <v>0</v>
      </c>
      <c r="D21" s="79" t="s">
        <v>2</v>
      </c>
      <c r="E21" s="83" t="s">
        <v>17</v>
      </c>
      <c r="F21" s="85" t="s">
        <v>6</v>
      </c>
      <c r="G21" s="86"/>
      <c r="H21" s="86" t="s">
        <v>18</v>
      </c>
      <c r="I21" s="86"/>
      <c r="J21" s="86" t="s">
        <v>19</v>
      </c>
      <c r="K21" s="87"/>
      <c r="L21" s="86" t="s">
        <v>20</v>
      </c>
      <c r="M21" s="86"/>
      <c r="N21" s="86" t="s">
        <v>21</v>
      </c>
      <c r="O21" s="87"/>
      <c r="P21" s="88" t="s">
        <v>26</v>
      </c>
      <c r="Q21" s="79"/>
      <c r="R21" s="79"/>
      <c r="S21" s="79"/>
      <c r="T21" s="79"/>
    </row>
    <row r="22" spans="1:20" ht="53.25" customHeight="1" x14ac:dyDescent="0.25">
      <c r="A22" s="80"/>
      <c r="B22" s="80"/>
      <c r="C22" s="82"/>
      <c r="D22" s="80"/>
      <c r="E22" s="84"/>
      <c r="F22" s="90" t="s">
        <v>38</v>
      </c>
      <c r="G22" s="91"/>
      <c r="H22" s="91" t="s">
        <v>447</v>
      </c>
      <c r="I22" s="91"/>
      <c r="J22" s="91" t="s">
        <v>451</v>
      </c>
      <c r="K22" s="92"/>
      <c r="L22" s="91"/>
      <c r="M22" s="91"/>
      <c r="N22" s="91"/>
      <c r="O22" s="92"/>
      <c r="P22" s="89"/>
      <c r="Q22" s="78"/>
      <c r="R22" s="78"/>
      <c r="S22" s="78"/>
      <c r="T22" s="78"/>
    </row>
    <row r="23" spans="1:20" ht="25.5" x14ac:dyDescent="0.25">
      <c r="A23" s="80"/>
      <c r="B23" s="80"/>
      <c r="C23" s="82"/>
      <c r="D23" s="80"/>
      <c r="E23" s="18" t="s">
        <v>3</v>
      </c>
      <c r="F23" s="19" t="s">
        <v>15</v>
      </c>
      <c r="G23" s="25" t="s">
        <v>16</v>
      </c>
      <c r="H23" s="25" t="s">
        <v>15</v>
      </c>
      <c r="I23" s="25" t="s">
        <v>16</v>
      </c>
      <c r="J23" s="25" t="s">
        <v>15</v>
      </c>
      <c r="K23" s="21" t="s">
        <v>16</v>
      </c>
      <c r="L23" s="25" t="s">
        <v>15</v>
      </c>
      <c r="M23" s="25" t="s">
        <v>16</v>
      </c>
      <c r="N23" s="25" t="s">
        <v>15</v>
      </c>
      <c r="O23" s="21" t="s">
        <v>16</v>
      </c>
      <c r="P23" s="24" t="s">
        <v>24</v>
      </c>
      <c r="Q23" s="24" t="s">
        <v>5</v>
      </c>
      <c r="R23" s="24" t="s">
        <v>8</v>
      </c>
      <c r="S23" s="24" t="s">
        <v>9</v>
      </c>
      <c r="T23" s="25" t="s">
        <v>14</v>
      </c>
    </row>
    <row r="24" spans="1:20" hidden="1" x14ac:dyDescent="0.25">
      <c r="A24" s="11" t="s">
        <v>59</v>
      </c>
      <c r="B24" s="11" t="s">
        <v>60</v>
      </c>
      <c r="C24" s="14" t="s">
        <v>61</v>
      </c>
      <c r="D24" s="11" t="s">
        <v>62</v>
      </c>
      <c r="E24" s="8" t="s">
        <v>63</v>
      </c>
      <c r="F24" s="9" t="s">
        <v>64</v>
      </c>
      <c r="G24" s="6" t="s">
        <v>65</v>
      </c>
      <c r="H24" s="6" t="s">
        <v>66</v>
      </c>
      <c r="I24" s="6" t="s">
        <v>67</v>
      </c>
      <c r="J24" s="6" t="s">
        <v>68</v>
      </c>
      <c r="K24" s="7" t="s">
        <v>69</v>
      </c>
      <c r="L24" s="6" t="s">
        <v>70</v>
      </c>
      <c r="M24" s="6" t="s">
        <v>71</v>
      </c>
      <c r="N24" s="6" t="s">
        <v>72</v>
      </c>
      <c r="O24" s="7" t="s">
        <v>73</v>
      </c>
      <c r="P24" s="13" t="s">
        <v>74</v>
      </c>
      <c r="Q24" s="5" t="s">
        <v>75</v>
      </c>
      <c r="R24" s="1" t="s">
        <v>76</v>
      </c>
      <c r="S24" s="1" t="s">
        <v>77</v>
      </c>
      <c r="T24" s="12" t="s">
        <v>78</v>
      </c>
    </row>
    <row r="25" spans="1:20" ht="102" x14ac:dyDescent="0.25">
      <c r="A25" s="11">
        <v>1</v>
      </c>
      <c r="B25" s="11" t="s">
        <v>123</v>
      </c>
      <c r="C25" s="14" t="s">
        <v>124</v>
      </c>
      <c r="D25" s="11" t="s">
        <v>4</v>
      </c>
      <c r="E25" s="8">
        <v>1</v>
      </c>
      <c r="F25" s="9">
        <v>424636.06</v>
      </c>
      <c r="G25" s="6">
        <f>F25*$E25</f>
        <v>424636.06</v>
      </c>
      <c r="H25" s="6">
        <v>494000</v>
      </c>
      <c r="I25" s="6">
        <f>H25*$E25</f>
        <v>494000</v>
      </c>
      <c r="J25" s="6">
        <f>179196+19431</f>
        <v>198627</v>
      </c>
      <c r="K25" s="7">
        <f>J25*$E25</f>
        <v>198627</v>
      </c>
      <c r="L25" s="6"/>
      <c r="M25" s="6">
        <f>L25*$E25</f>
        <v>0</v>
      </c>
      <c r="N25" s="6"/>
      <c r="O25" s="7">
        <f>N25*$E25</f>
        <v>0</v>
      </c>
      <c r="P25" s="13">
        <f>MEDIAN(J25,H25,F25,L25,N25)</f>
        <v>424636.06</v>
      </c>
      <c r="Q25" s="23" t="str">
        <f t="shared" ref="Q25" si="7">_xlfn.XLOOKUP(P25,F25:O25,$F$22:$O$22)</f>
        <v>MONTENEGRO</v>
      </c>
      <c r="R25" s="1" t="str">
        <f>_xlfn.XLOOKUP(Q25,'RELAÇÃO DE FORNECEDORES'!$A$3:$A$287,'RELAÇÃO DE FORNECEDORES'!$B$3:$B$287)</f>
        <v>32.719.150/0001-46</v>
      </c>
      <c r="S25" s="1" t="str">
        <f>_xlfn.XLOOKUP(Q25,'RELAÇÃO DE FORNECEDORES'!$A$3:$A$287,'RELAÇÃO DE FORNECEDORES'!$E$3:$E$287)</f>
        <v>SAMIA ABRANCHES</v>
      </c>
      <c r="T25" s="12">
        <f>_xlfn.XLOOKUP(Q25,'RELAÇÃO DE FORNECEDORES'!$A$3:$A$287,'RELAÇÃO DE FORNECEDORES'!$C$3:$C$287)</f>
        <v>44322</v>
      </c>
    </row>
    <row r="29" spans="1:20" x14ac:dyDescent="0.25">
      <c r="A29" s="96" t="s">
        <v>127</v>
      </c>
      <c r="B29" s="96"/>
      <c r="C29" s="96"/>
      <c r="D29" s="96"/>
      <c r="E29" s="96"/>
      <c r="F29" s="96"/>
      <c r="G29" s="96"/>
      <c r="H29" s="96"/>
      <c r="I29" s="96"/>
      <c r="J29" s="96"/>
      <c r="K29" s="96"/>
      <c r="L29" s="96"/>
      <c r="M29" s="96"/>
      <c r="N29" s="96"/>
      <c r="O29" s="96"/>
      <c r="P29" s="96"/>
      <c r="Q29" s="96"/>
      <c r="R29" s="96"/>
      <c r="S29" s="96"/>
      <c r="T29" s="96"/>
    </row>
    <row r="30" spans="1:20" x14ac:dyDescent="0.25">
      <c r="A30" s="93" t="s">
        <v>27</v>
      </c>
      <c r="B30" s="93"/>
      <c r="C30" s="93"/>
      <c r="D30" s="93"/>
      <c r="E30" s="94"/>
      <c r="F30" s="95" t="s">
        <v>23</v>
      </c>
      <c r="G30" s="93"/>
      <c r="H30" s="93"/>
      <c r="I30" s="93"/>
      <c r="J30" s="93"/>
      <c r="K30" s="93"/>
      <c r="L30" s="93"/>
      <c r="M30" s="93"/>
      <c r="N30" s="93"/>
      <c r="O30" s="94"/>
      <c r="P30" s="78" t="s">
        <v>25</v>
      </c>
      <c r="Q30" s="78"/>
      <c r="R30" s="78"/>
      <c r="S30" s="78"/>
      <c r="T30" s="78"/>
    </row>
    <row r="31" spans="1:20" ht="60.75" customHeight="1" x14ac:dyDescent="0.25">
      <c r="A31" s="79" t="s">
        <v>1</v>
      </c>
      <c r="B31" s="79" t="s">
        <v>13</v>
      </c>
      <c r="C31" s="81" t="s">
        <v>0</v>
      </c>
      <c r="D31" s="79" t="s">
        <v>2</v>
      </c>
      <c r="E31" s="83" t="s">
        <v>17</v>
      </c>
      <c r="F31" s="85" t="s">
        <v>6</v>
      </c>
      <c r="G31" s="86"/>
      <c r="H31" s="86" t="s">
        <v>18</v>
      </c>
      <c r="I31" s="86"/>
      <c r="J31" s="86" t="s">
        <v>19</v>
      </c>
      <c r="K31" s="87"/>
      <c r="L31" s="86" t="s">
        <v>20</v>
      </c>
      <c r="M31" s="86"/>
      <c r="N31" s="86" t="s">
        <v>21</v>
      </c>
      <c r="O31" s="87"/>
      <c r="P31" s="88" t="s">
        <v>26</v>
      </c>
      <c r="Q31" s="79"/>
      <c r="R31" s="79"/>
      <c r="S31" s="79"/>
      <c r="T31" s="79"/>
    </row>
    <row r="32" spans="1:20" ht="60.75" customHeight="1" x14ac:dyDescent="0.25">
      <c r="A32" s="80"/>
      <c r="B32" s="80"/>
      <c r="C32" s="82"/>
      <c r="D32" s="80"/>
      <c r="E32" s="84"/>
      <c r="F32" s="90" t="s">
        <v>31</v>
      </c>
      <c r="G32" s="91"/>
      <c r="H32" s="91" t="s">
        <v>464</v>
      </c>
      <c r="I32" s="91"/>
      <c r="J32" s="91" t="s">
        <v>46</v>
      </c>
      <c r="K32" s="92"/>
      <c r="L32" s="91"/>
      <c r="M32" s="91"/>
      <c r="N32" s="91"/>
      <c r="O32" s="92"/>
      <c r="P32" s="89"/>
      <c r="Q32" s="78"/>
      <c r="R32" s="78"/>
      <c r="S32" s="78"/>
      <c r="T32" s="78"/>
    </row>
    <row r="33" spans="1:20" ht="25.5" x14ac:dyDescent="0.25">
      <c r="A33" s="80"/>
      <c r="B33" s="80"/>
      <c r="C33" s="82"/>
      <c r="D33" s="80"/>
      <c r="E33" s="18" t="s">
        <v>3</v>
      </c>
      <c r="F33" s="19" t="s">
        <v>15</v>
      </c>
      <c r="G33" s="25" t="s">
        <v>16</v>
      </c>
      <c r="H33" s="25" t="s">
        <v>15</v>
      </c>
      <c r="I33" s="25" t="s">
        <v>16</v>
      </c>
      <c r="J33" s="25" t="s">
        <v>15</v>
      </c>
      <c r="K33" s="21" t="s">
        <v>16</v>
      </c>
      <c r="L33" s="25" t="s">
        <v>15</v>
      </c>
      <c r="M33" s="25" t="s">
        <v>16</v>
      </c>
      <c r="N33" s="25" t="s">
        <v>15</v>
      </c>
      <c r="O33" s="21" t="s">
        <v>16</v>
      </c>
      <c r="P33" s="24" t="s">
        <v>24</v>
      </c>
      <c r="Q33" s="24" t="s">
        <v>5</v>
      </c>
      <c r="R33" s="24" t="s">
        <v>8</v>
      </c>
      <c r="S33" s="24" t="s">
        <v>9</v>
      </c>
      <c r="T33" s="25" t="s">
        <v>14</v>
      </c>
    </row>
    <row r="34" spans="1:20" hidden="1" x14ac:dyDescent="0.25">
      <c r="A34" s="11" t="s">
        <v>59</v>
      </c>
      <c r="B34" s="11" t="s">
        <v>60</v>
      </c>
      <c r="C34" s="14" t="s">
        <v>61</v>
      </c>
      <c r="D34" s="11" t="s">
        <v>62</v>
      </c>
      <c r="E34" s="8" t="s">
        <v>63</v>
      </c>
      <c r="F34" s="9" t="s">
        <v>64</v>
      </c>
      <c r="G34" s="6" t="s">
        <v>65</v>
      </c>
      <c r="H34" s="6" t="s">
        <v>66</v>
      </c>
      <c r="I34" s="6" t="s">
        <v>67</v>
      </c>
      <c r="J34" s="6" t="s">
        <v>68</v>
      </c>
      <c r="K34" s="7" t="s">
        <v>69</v>
      </c>
      <c r="L34" s="6" t="s">
        <v>70</v>
      </c>
      <c r="M34" s="6" t="s">
        <v>71</v>
      </c>
      <c r="N34" s="6" t="s">
        <v>72</v>
      </c>
      <c r="O34" s="7" t="s">
        <v>73</v>
      </c>
      <c r="P34" s="13" t="s">
        <v>74</v>
      </c>
      <c r="Q34" s="5" t="s">
        <v>75</v>
      </c>
      <c r="R34" s="1" t="s">
        <v>76</v>
      </c>
      <c r="S34" s="1" t="s">
        <v>77</v>
      </c>
      <c r="T34" s="12" t="s">
        <v>78</v>
      </c>
    </row>
    <row r="35" spans="1:20" ht="30" x14ac:dyDescent="0.25">
      <c r="A35" s="11">
        <v>1</v>
      </c>
      <c r="B35" s="11" t="s">
        <v>129</v>
      </c>
      <c r="C35" s="14" t="s">
        <v>128</v>
      </c>
      <c r="D35" s="11" t="s">
        <v>4</v>
      </c>
      <c r="E35" s="8">
        <v>1</v>
      </c>
      <c r="F35" s="9">
        <v>43418.1</v>
      </c>
      <c r="G35" s="6">
        <f>F35*$E35</f>
        <v>43418.1</v>
      </c>
      <c r="H35" s="6">
        <v>17700</v>
      </c>
      <c r="I35" s="6">
        <f>H35*$E35</f>
        <v>17700</v>
      </c>
      <c r="J35" s="6">
        <v>56168</v>
      </c>
      <c r="K35" s="7">
        <f>J35*$E35</f>
        <v>56168</v>
      </c>
      <c r="L35" s="6"/>
      <c r="M35" s="6">
        <f>L35*$E35</f>
        <v>0</v>
      </c>
      <c r="N35" s="6"/>
      <c r="O35" s="7">
        <f>N35*$E35</f>
        <v>0</v>
      </c>
      <c r="P35" s="13">
        <f>MEDIAN(J35,H35,F35,L35,N35)</f>
        <v>43418.1</v>
      </c>
      <c r="Q35" s="23" t="str">
        <f>_xlfn.XLOOKUP(P35,F35:O35,$F$32:$O$32)</f>
        <v>MARCON ENGENHARIA E CONSTRUÇÕES LTDA</v>
      </c>
      <c r="R35" s="1" t="str">
        <f>_xlfn.XLOOKUP(Q35,'RELAÇÃO DE FORNECEDORES'!$A$3:$A$287,'RELAÇÃO DE FORNECEDORES'!$B$3:$B$287)</f>
        <v>03.307.088/0001-87</v>
      </c>
      <c r="S35" s="1" t="str">
        <f>_xlfn.XLOOKUP(Q35,'RELAÇÃO DE FORNECEDORES'!$A$3:$A$287,'RELAÇÃO DE FORNECEDORES'!$E$3:$E$287)</f>
        <v>HERMUT RODRIGUES</v>
      </c>
      <c r="T35" s="12">
        <f>_xlfn.XLOOKUP(Q35,'RELAÇÃO DE FORNECEDORES'!$A$3:$A$287,'RELAÇÃO DE FORNECEDORES'!$C$3:$C$287)</f>
        <v>44327</v>
      </c>
    </row>
    <row r="40" spans="1:20" x14ac:dyDescent="0.25">
      <c r="A40" s="96" t="s">
        <v>130</v>
      </c>
      <c r="B40" s="96"/>
      <c r="C40" s="96"/>
      <c r="D40" s="96"/>
      <c r="E40" s="96"/>
      <c r="F40" s="96"/>
      <c r="G40" s="96"/>
      <c r="H40" s="96"/>
      <c r="I40" s="96"/>
      <c r="J40" s="96"/>
      <c r="K40" s="96"/>
      <c r="L40" s="96"/>
      <c r="M40" s="96"/>
      <c r="N40" s="96"/>
      <c r="O40" s="96"/>
      <c r="P40" s="96"/>
      <c r="Q40" s="96"/>
      <c r="R40" s="96"/>
      <c r="S40" s="96"/>
      <c r="T40" s="96"/>
    </row>
    <row r="41" spans="1:20" x14ac:dyDescent="0.25">
      <c r="A41" s="93" t="s">
        <v>27</v>
      </c>
      <c r="B41" s="93"/>
      <c r="C41" s="93"/>
      <c r="D41" s="93"/>
      <c r="E41" s="94"/>
      <c r="F41" s="95" t="s">
        <v>23</v>
      </c>
      <c r="G41" s="93"/>
      <c r="H41" s="93"/>
      <c r="I41" s="93"/>
      <c r="J41" s="93"/>
      <c r="K41" s="93"/>
      <c r="L41" s="93"/>
      <c r="M41" s="93"/>
      <c r="N41" s="93"/>
      <c r="O41" s="94"/>
      <c r="P41" s="78" t="s">
        <v>25</v>
      </c>
      <c r="Q41" s="78"/>
      <c r="R41" s="78"/>
      <c r="S41" s="78"/>
      <c r="T41" s="78"/>
    </row>
    <row r="42" spans="1:20" ht="73.5" customHeight="1" x14ac:dyDescent="0.25">
      <c r="A42" s="79" t="s">
        <v>1</v>
      </c>
      <c r="B42" s="79" t="s">
        <v>13</v>
      </c>
      <c r="C42" s="81" t="s">
        <v>0</v>
      </c>
      <c r="D42" s="79" t="s">
        <v>2</v>
      </c>
      <c r="E42" s="83" t="s">
        <v>17</v>
      </c>
      <c r="F42" s="85" t="s">
        <v>6</v>
      </c>
      <c r="G42" s="86"/>
      <c r="H42" s="86" t="s">
        <v>18</v>
      </c>
      <c r="I42" s="86"/>
      <c r="J42" s="86" t="s">
        <v>19</v>
      </c>
      <c r="K42" s="87"/>
      <c r="L42" s="86" t="s">
        <v>20</v>
      </c>
      <c r="M42" s="86"/>
      <c r="N42" s="86" t="s">
        <v>21</v>
      </c>
      <c r="O42" s="87"/>
      <c r="P42" s="88" t="s">
        <v>26</v>
      </c>
      <c r="Q42" s="79"/>
      <c r="R42" s="79"/>
      <c r="S42" s="79"/>
      <c r="T42" s="79"/>
    </row>
    <row r="43" spans="1:20" ht="73.5" customHeight="1" x14ac:dyDescent="0.25">
      <c r="A43" s="80"/>
      <c r="B43" s="80"/>
      <c r="C43" s="82"/>
      <c r="D43" s="80"/>
      <c r="E43" s="84"/>
      <c r="F43" s="90" t="s">
        <v>36</v>
      </c>
      <c r="G43" s="91"/>
      <c r="H43" s="91" t="s">
        <v>457</v>
      </c>
      <c r="I43" s="91"/>
      <c r="J43" s="91" t="s">
        <v>461</v>
      </c>
      <c r="K43" s="92"/>
      <c r="L43" s="91"/>
      <c r="M43" s="91"/>
      <c r="N43" s="91"/>
      <c r="O43" s="92"/>
      <c r="P43" s="89"/>
      <c r="Q43" s="78"/>
      <c r="R43" s="78"/>
      <c r="S43" s="78"/>
      <c r="T43" s="78"/>
    </row>
    <row r="44" spans="1:20" ht="25.5" x14ac:dyDescent="0.25">
      <c r="A44" s="80"/>
      <c r="B44" s="80"/>
      <c r="C44" s="82"/>
      <c r="D44" s="80"/>
      <c r="E44" s="18" t="s">
        <v>3</v>
      </c>
      <c r="F44" s="19" t="s">
        <v>15</v>
      </c>
      <c r="G44" s="25" t="s">
        <v>16</v>
      </c>
      <c r="H44" s="25" t="s">
        <v>15</v>
      </c>
      <c r="I44" s="25" t="s">
        <v>16</v>
      </c>
      <c r="J44" s="25" t="s">
        <v>15</v>
      </c>
      <c r="K44" s="21" t="s">
        <v>16</v>
      </c>
      <c r="L44" s="25" t="s">
        <v>15</v>
      </c>
      <c r="M44" s="25" t="s">
        <v>16</v>
      </c>
      <c r="N44" s="25" t="s">
        <v>15</v>
      </c>
      <c r="O44" s="21" t="s">
        <v>16</v>
      </c>
      <c r="P44" s="24" t="s">
        <v>24</v>
      </c>
      <c r="Q44" s="24" t="s">
        <v>5</v>
      </c>
      <c r="R44" s="24" t="s">
        <v>8</v>
      </c>
      <c r="S44" s="24" t="s">
        <v>9</v>
      </c>
      <c r="T44" s="25" t="s">
        <v>14</v>
      </c>
    </row>
    <row r="45" spans="1:20" hidden="1" x14ac:dyDescent="0.25">
      <c r="A45" s="11" t="s">
        <v>59</v>
      </c>
      <c r="B45" s="11" t="s">
        <v>60</v>
      </c>
      <c r="C45" s="14" t="s">
        <v>61</v>
      </c>
      <c r="D45" s="11" t="s">
        <v>62</v>
      </c>
      <c r="E45" s="8" t="s">
        <v>63</v>
      </c>
      <c r="F45" s="9" t="s">
        <v>64</v>
      </c>
      <c r="G45" s="6" t="s">
        <v>65</v>
      </c>
      <c r="H45" s="6" t="s">
        <v>66</v>
      </c>
      <c r="I45" s="6" t="s">
        <v>67</v>
      </c>
      <c r="J45" s="6" t="s">
        <v>68</v>
      </c>
      <c r="K45" s="7" t="s">
        <v>69</v>
      </c>
      <c r="L45" s="6" t="s">
        <v>70</v>
      </c>
      <c r="M45" s="6" t="s">
        <v>71</v>
      </c>
      <c r="N45" s="6" t="s">
        <v>72</v>
      </c>
      <c r="O45" s="7" t="s">
        <v>73</v>
      </c>
      <c r="P45" s="13" t="s">
        <v>74</v>
      </c>
      <c r="Q45" s="5" t="s">
        <v>75</v>
      </c>
      <c r="R45" s="1" t="s">
        <v>76</v>
      </c>
      <c r="S45" s="1" t="s">
        <v>77</v>
      </c>
      <c r="T45" s="12" t="s">
        <v>78</v>
      </c>
    </row>
    <row r="46" spans="1:20" ht="38.25" x14ac:dyDescent="0.25">
      <c r="A46" s="11">
        <v>1</v>
      </c>
      <c r="B46" s="11" t="s">
        <v>132</v>
      </c>
      <c r="C46" s="14" t="s">
        <v>131</v>
      </c>
      <c r="D46" s="11" t="s">
        <v>4</v>
      </c>
      <c r="E46" s="8">
        <v>6</v>
      </c>
      <c r="F46" s="9">
        <v>40200</v>
      </c>
      <c r="G46" s="6">
        <f>F46*$E46</f>
        <v>241200</v>
      </c>
      <c r="H46" s="6">
        <v>43940</v>
      </c>
      <c r="I46" s="6">
        <f>H46*$E46</f>
        <v>263640</v>
      </c>
      <c r="J46" s="6">
        <v>36280</v>
      </c>
      <c r="K46" s="7">
        <f>J46*$E46</f>
        <v>217680</v>
      </c>
      <c r="L46" s="6"/>
      <c r="M46" s="6">
        <f>L46*$E46</f>
        <v>0</v>
      </c>
      <c r="N46" s="6"/>
      <c r="O46" s="7">
        <f>N46*$E46</f>
        <v>0</v>
      </c>
      <c r="P46" s="13">
        <f>MEDIAN(J46,H46,F46,L46,N46)</f>
        <v>40200</v>
      </c>
      <c r="Q46" s="23" t="str">
        <f>_xlfn.XLOOKUP(P46,F46:O46,$F$43:$O$43)</f>
        <v>NAQUA SOLUÇÕES EM ÁGUAS</v>
      </c>
      <c r="R46" s="1" t="str">
        <f>_xlfn.XLOOKUP(Q46,'RELAÇÃO DE FORNECEDORES'!$A$3:$A$287,'RELAÇÃO DE FORNECEDORES'!$B$3:$B$287)</f>
        <v>27.673.578/0001-65</v>
      </c>
      <c r="S46" s="1" t="str">
        <f>_xlfn.XLOOKUP(Q46,'RELAÇÃO DE FORNECEDORES'!$A$3:$A$287,'RELAÇÃO DE FORNECEDORES'!$E$3:$E$287)</f>
        <v>LUDOVICO PASCHOALIN</v>
      </c>
      <c r="T46" s="12">
        <f>_xlfn.XLOOKUP(Q46,'RELAÇÃO DE FORNECEDORES'!$A$3:$A$287,'RELAÇÃO DE FORNECEDORES'!$C$3:$C$287)</f>
        <v>44329</v>
      </c>
    </row>
    <row r="47" spans="1:20" ht="38.25" x14ac:dyDescent="0.25">
      <c r="A47" s="1">
        <v>2</v>
      </c>
      <c r="B47" s="1" t="s">
        <v>136</v>
      </c>
      <c r="C47" s="2" t="s">
        <v>135</v>
      </c>
      <c r="D47" s="1" t="s">
        <v>4</v>
      </c>
      <c r="E47" s="8">
        <v>4</v>
      </c>
      <c r="F47" s="9">
        <v>54600</v>
      </c>
      <c r="G47" s="15">
        <f t="shared" ref="G47" si="8">F47*$E47</f>
        <v>218400</v>
      </c>
      <c r="H47" s="15">
        <v>77490</v>
      </c>
      <c r="I47" s="15">
        <f t="shared" ref="I47" si="9">H47*$E47</f>
        <v>309960</v>
      </c>
      <c r="J47" s="15">
        <v>60640</v>
      </c>
      <c r="K47" s="7">
        <f t="shared" ref="K47" si="10">J47*$E47</f>
        <v>242560</v>
      </c>
      <c r="L47" s="15"/>
      <c r="M47" s="15">
        <f t="shared" ref="M47" si="11">L47*$E47</f>
        <v>0</v>
      </c>
      <c r="N47" s="15"/>
      <c r="O47" s="7">
        <f t="shared" ref="O47" si="12">N47*$E47</f>
        <v>0</v>
      </c>
      <c r="P47" s="13">
        <f t="shared" ref="P47" si="13">MEDIAN(J47,H47,F47,L47,N47)</f>
        <v>60640</v>
      </c>
      <c r="Q47" s="26" t="str">
        <f>_xlfn.XLOOKUP(P47,F47:O47,$F$43:$O$43)</f>
        <v>ECOSAN TRATAMENTO EM SANEAMENTO EIRELI</v>
      </c>
      <c r="R47" s="1" t="str">
        <f>_xlfn.XLOOKUP(Q47,'RELAÇÃO DE FORNECEDORES'!$A$3:$A$287,'RELAÇÃO DE FORNECEDORES'!$B$3:$B$287)</f>
        <v>03.797.748/0001-55</v>
      </c>
      <c r="S47" s="1" t="str">
        <f>_xlfn.XLOOKUP(Q47,'RELAÇÃO DE FORNECEDORES'!$A$3:$A$287,'RELAÇÃO DE FORNECEDORES'!$E$3:$E$287)</f>
        <v>ALINE</v>
      </c>
      <c r="T47" s="12">
        <f>_xlfn.XLOOKUP(Q47,'RELAÇÃO DE FORNECEDORES'!$A$3:$A$287,'RELAÇÃO DE FORNECEDORES'!$C$3:$C$287)</f>
        <v>44510</v>
      </c>
    </row>
    <row r="51" spans="1:20" x14ac:dyDescent="0.25">
      <c r="A51" s="96" t="s">
        <v>455</v>
      </c>
      <c r="B51" s="96"/>
      <c r="C51" s="96"/>
      <c r="D51" s="96"/>
      <c r="E51" s="96"/>
      <c r="F51" s="96"/>
      <c r="G51" s="96"/>
      <c r="H51" s="96"/>
      <c r="I51" s="96"/>
      <c r="J51" s="96"/>
      <c r="K51" s="96"/>
      <c r="L51" s="96"/>
      <c r="M51" s="96"/>
      <c r="N51" s="96"/>
      <c r="O51" s="96"/>
      <c r="P51" s="96"/>
      <c r="Q51" s="96"/>
      <c r="R51" s="96"/>
      <c r="S51" s="96"/>
      <c r="T51" s="96"/>
    </row>
    <row r="52" spans="1:20" x14ac:dyDescent="0.25">
      <c r="A52" s="93" t="s">
        <v>27</v>
      </c>
      <c r="B52" s="93"/>
      <c r="C52" s="93"/>
      <c r="D52" s="93"/>
      <c r="E52" s="94"/>
      <c r="F52" s="95" t="s">
        <v>23</v>
      </c>
      <c r="G52" s="93"/>
      <c r="H52" s="93"/>
      <c r="I52" s="93"/>
      <c r="J52" s="93"/>
      <c r="K52" s="93"/>
      <c r="L52" s="93"/>
      <c r="M52" s="93"/>
      <c r="N52" s="93"/>
      <c r="O52" s="94"/>
      <c r="P52" s="78" t="s">
        <v>25</v>
      </c>
      <c r="Q52" s="78"/>
      <c r="R52" s="78"/>
      <c r="S52" s="78"/>
      <c r="T52" s="78"/>
    </row>
    <row r="53" spans="1:20" ht="57.75" customHeight="1" x14ac:dyDescent="0.25">
      <c r="A53" s="79" t="s">
        <v>1</v>
      </c>
      <c r="B53" s="79" t="s">
        <v>13</v>
      </c>
      <c r="C53" s="81" t="s">
        <v>0</v>
      </c>
      <c r="D53" s="79" t="s">
        <v>2</v>
      </c>
      <c r="E53" s="83" t="s">
        <v>17</v>
      </c>
      <c r="F53" s="85" t="s">
        <v>6</v>
      </c>
      <c r="G53" s="86"/>
      <c r="H53" s="86" t="s">
        <v>18</v>
      </c>
      <c r="I53" s="86"/>
      <c r="J53" s="86" t="s">
        <v>19</v>
      </c>
      <c r="K53" s="87"/>
      <c r="L53" s="86" t="s">
        <v>20</v>
      </c>
      <c r="M53" s="86"/>
      <c r="N53" s="86" t="s">
        <v>21</v>
      </c>
      <c r="O53" s="87"/>
      <c r="P53" s="88" t="s">
        <v>26</v>
      </c>
      <c r="Q53" s="79"/>
      <c r="R53" s="79"/>
      <c r="S53" s="79"/>
      <c r="T53" s="79"/>
    </row>
    <row r="54" spans="1:20" ht="57.75" customHeight="1" x14ac:dyDescent="0.25">
      <c r="A54" s="80"/>
      <c r="B54" s="80"/>
      <c r="C54" s="82"/>
      <c r="D54" s="80"/>
      <c r="E54" s="84"/>
      <c r="F54" s="90" t="s">
        <v>36</v>
      </c>
      <c r="G54" s="91"/>
      <c r="H54" s="91" t="s">
        <v>138</v>
      </c>
      <c r="I54" s="91"/>
      <c r="J54" s="91"/>
      <c r="K54" s="92"/>
      <c r="L54" s="91"/>
      <c r="M54" s="91"/>
      <c r="N54" s="91"/>
      <c r="O54" s="92"/>
      <c r="P54" s="89"/>
      <c r="Q54" s="78"/>
      <c r="R54" s="78"/>
      <c r="S54" s="78"/>
      <c r="T54" s="78"/>
    </row>
    <row r="55" spans="1:20" ht="25.5" x14ac:dyDescent="0.25">
      <c r="A55" s="80"/>
      <c r="B55" s="80"/>
      <c r="C55" s="82"/>
      <c r="D55" s="80"/>
      <c r="E55" s="18" t="s">
        <v>3</v>
      </c>
      <c r="F55" s="19" t="s">
        <v>15</v>
      </c>
      <c r="G55" s="61" t="s">
        <v>16</v>
      </c>
      <c r="H55" s="61" t="s">
        <v>15</v>
      </c>
      <c r="I55" s="61" t="s">
        <v>16</v>
      </c>
      <c r="J55" s="61" t="s">
        <v>15</v>
      </c>
      <c r="K55" s="21" t="s">
        <v>16</v>
      </c>
      <c r="L55" s="61" t="s">
        <v>15</v>
      </c>
      <c r="M55" s="61" t="s">
        <v>16</v>
      </c>
      <c r="N55" s="61" t="s">
        <v>15</v>
      </c>
      <c r="O55" s="21" t="s">
        <v>16</v>
      </c>
      <c r="P55" s="60" t="s">
        <v>24</v>
      </c>
      <c r="Q55" s="60" t="s">
        <v>5</v>
      </c>
      <c r="R55" s="60" t="s">
        <v>8</v>
      </c>
      <c r="S55" s="60" t="s">
        <v>9</v>
      </c>
      <c r="T55" s="61" t="s">
        <v>14</v>
      </c>
    </row>
    <row r="56" spans="1:20" hidden="1" x14ac:dyDescent="0.25">
      <c r="A56" s="11" t="s">
        <v>59</v>
      </c>
      <c r="B56" s="11" t="s">
        <v>60</v>
      </c>
      <c r="C56" s="14" t="s">
        <v>61</v>
      </c>
      <c r="D56" s="11" t="s">
        <v>62</v>
      </c>
      <c r="E56" s="8" t="s">
        <v>63</v>
      </c>
      <c r="F56" s="9" t="s">
        <v>64</v>
      </c>
      <c r="G56" s="6" t="s">
        <v>65</v>
      </c>
      <c r="H56" s="6" t="s">
        <v>66</v>
      </c>
      <c r="I56" s="6" t="s">
        <v>67</v>
      </c>
      <c r="J56" s="6" t="s">
        <v>68</v>
      </c>
      <c r="K56" s="7" t="s">
        <v>69</v>
      </c>
      <c r="L56" s="6" t="s">
        <v>70</v>
      </c>
      <c r="M56" s="6" t="s">
        <v>71</v>
      </c>
      <c r="N56" s="6" t="s">
        <v>72</v>
      </c>
      <c r="O56" s="7" t="s">
        <v>73</v>
      </c>
      <c r="P56" s="13" t="s">
        <v>74</v>
      </c>
      <c r="Q56" s="5" t="s">
        <v>75</v>
      </c>
      <c r="R56" s="1" t="s">
        <v>76</v>
      </c>
      <c r="S56" s="1" t="s">
        <v>77</v>
      </c>
      <c r="T56" s="12" t="s">
        <v>78</v>
      </c>
    </row>
    <row r="57" spans="1:20" ht="38.25" x14ac:dyDescent="0.25">
      <c r="A57" s="11">
        <v>1</v>
      </c>
      <c r="B57" s="1" t="s">
        <v>142</v>
      </c>
      <c r="C57" s="2" t="s">
        <v>137</v>
      </c>
      <c r="D57" s="1" t="s">
        <v>4</v>
      </c>
      <c r="E57" s="8">
        <v>1</v>
      </c>
      <c r="F57" s="9">
        <v>11400</v>
      </c>
      <c r="G57" s="15">
        <f>F57*$E57</f>
        <v>11400</v>
      </c>
      <c r="H57" s="15">
        <v>4200</v>
      </c>
      <c r="I57" s="15">
        <f>H57*$E57</f>
        <v>4200</v>
      </c>
      <c r="J57" s="15">
        <v>0</v>
      </c>
      <c r="K57" s="7">
        <f>J57*$E57</f>
        <v>0</v>
      </c>
      <c r="L57" s="15"/>
      <c r="M57" s="15">
        <f>L57*$E57</f>
        <v>0</v>
      </c>
      <c r="N57" s="15"/>
      <c r="O57" s="7">
        <f>N57*$E57</f>
        <v>0</v>
      </c>
      <c r="P57" s="13">
        <f>MEDIAN(J57,H57,F57,L57,N57)</f>
        <v>4200</v>
      </c>
      <c r="Q57" s="26" t="str">
        <f>_xlfn.XLOOKUP(P57,F57:O57,$F$54:$O$54)</f>
        <v>HIDROMETER</v>
      </c>
      <c r="R57" s="1" t="str">
        <f>_xlfn.XLOOKUP(Q57,'RELAÇÃO DE FORNECEDORES'!$A$3:$A$287,'RELAÇÃO DE FORNECEDORES'!$B$3:$B$287)</f>
        <v>06.861.118/0001-90</v>
      </c>
      <c r="S57" s="1" t="str">
        <f>_xlfn.XLOOKUP(Q57,'RELAÇÃO DE FORNECEDORES'!$A$3:$A$287,'RELAÇÃO DE FORNECEDORES'!$E$3:$E$287)</f>
        <v>JAQUELINE</v>
      </c>
      <c r="T57" s="12">
        <f>_xlfn.XLOOKUP(Q57,'RELAÇÃO DE FORNECEDORES'!$A$3:$A$287,'RELAÇÃO DE FORNECEDORES'!$C$3:$C$287)</f>
        <v>44322</v>
      </c>
    </row>
    <row r="61" spans="1:20" x14ac:dyDescent="0.25">
      <c r="A61" s="96" t="s">
        <v>456</v>
      </c>
      <c r="B61" s="96"/>
      <c r="C61" s="96"/>
      <c r="D61" s="96"/>
      <c r="E61" s="96"/>
      <c r="F61" s="96"/>
      <c r="G61" s="96"/>
      <c r="H61" s="96"/>
      <c r="I61" s="96"/>
      <c r="J61" s="96"/>
      <c r="K61" s="96"/>
      <c r="L61" s="96"/>
      <c r="M61" s="96"/>
      <c r="N61" s="96"/>
      <c r="O61" s="96"/>
      <c r="P61" s="96"/>
      <c r="Q61" s="96"/>
      <c r="R61" s="96"/>
      <c r="S61" s="96"/>
      <c r="T61" s="96"/>
    </row>
    <row r="62" spans="1:20" x14ac:dyDescent="0.25">
      <c r="A62" s="93" t="s">
        <v>27</v>
      </c>
      <c r="B62" s="93"/>
      <c r="C62" s="93"/>
      <c r="D62" s="93"/>
      <c r="E62" s="94"/>
      <c r="F62" s="95" t="s">
        <v>23</v>
      </c>
      <c r="G62" s="93"/>
      <c r="H62" s="93"/>
      <c r="I62" s="93"/>
      <c r="J62" s="93"/>
      <c r="K62" s="93"/>
      <c r="L62" s="93"/>
      <c r="M62" s="93"/>
      <c r="N62" s="93"/>
      <c r="O62" s="94"/>
      <c r="P62" s="78" t="s">
        <v>25</v>
      </c>
      <c r="Q62" s="78"/>
      <c r="R62" s="78"/>
      <c r="S62" s="78"/>
      <c r="T62" s="78"/>
    </row>
    <row r="63" spans="1:20" ht="73.5" customHeight="1" x14ac:dyDescent="0.25">
      <c r="A63" s="79" t="s">
        <v>1</v>
      </c>
      <c r="B63" s="79" t="s">
        <v>13</v>
      </c>
      <c r="C63" s="81" t="s">
        <v>0</v>
      </c>
      <c r="D63" s="79" t="s">
        <v>2</v>
      </c>
      <c r="E63" s="83" t="s">
        <v>17</v>
      </c>
      <c r="F63" s="85" t="s">
        <v>6</v>
      </c>
      <c r="G63" s="86"/>
      <c r="H63" s="86" t="s">
        <v>18</v>
      </c>
      <c r="I63" s="86"/>
      <c r="J63" s="86" t="s">
        <v>19</v>
      </c>
      <c r="K63" s="87"/>
      <c r="L63" s="86" t="s">
        <v>20</v>
      </c>
      <c r="M63" s="86"/>
      <c r="N63" s="86" t="s">
        <v>21</v>
      </c>
      <c r="O63" s="87"/>
      <c r="P63" s="88" t="s">
        <v>26</v>
      </c>
      <c r="Q63" s="79"/>
      <c r="R63" s="79"/>
      <c r="S63" s="79"/>
      <c r="T63" s="79"/>
    </row>
    <row r="64" spans="1:20" ht="73.5" customHeight="1" x14ac:dyDescent="0.25">
      <c r="A64" s="80"/>
      <c r="B64" s="80"/>
      <c r="C64" s="82"/>
      <c r="D64" s="80"/>
      <c r="E64" s="84"/>
      <c r="F64" s="90" t="s">
        <v>31</v>
      </c>
      <c r="G64" s="91"/>
      <c r="H64" s="91" t="s">
        <v>464</v>
      </c>
      <c r="I64" s="91"/>
      <c r="J64" s="91" t="s">
        <v>46</v>
      </c>
      <c r="K64" s="92"/>
      <c r="L64" s="91"/>
      <c r="M64" s="91"/>
      <c r="N64" s="91"/>
      <c r="O64" s="92"/>
      <c r="P64" s="89"/>
      <c r="Q64" s="78"/>
      <c r="R64" s="78"/>
      <c r="S64" s="78"/>
      <c r="T64" s="78"/>
    </row>
    <row r="65" spans="1:20" ht="25.5" x14ac:dyDescent="0.25">
      <c r="A65" s="80"/>
      <c r="B65" s="80"/>
      <c r="C65" s="82"/>
      <c r="D65" s="80"/>
      <c r="E65" s="18" t="s">
        <v>3</v>
      </c>
      <c r="F65" s="19" t="s">
        <v>15</v>
      </c>
      <c r="G65" s="25" t="s">
        <v>16</v>
      </c>
      <c r="H65" s="25" t="s">
        <v>15</v>
      </c>
      <c r="I65" s="25" t="s">
        <v>16</v>
      </c>
      <c r="J65" s="25" t="s">
        <v>15</v>
      </c>
      <c r="K65" s="21" t="s">
        <v>16</v>
      </c>
      <c r="L65" s="25" t="s">
        <v>15</v>
      </c>
      <c r="M65" s="25" t="s">
        <v>16</v>
      </c>
      <c r="N65" s="25" t="s">
        <v>15</v>
      </c>
      <c r="O65" s="21" t="s">
        <v>16</v>
      </c>
      <c r="P65" s="24" t="s">
        <v>24</v>
      </c>
      <c r="Q65" s="24" t="s">
        <v>5</v>
      </c>
      <c r="R65" s="24" t="s">
        <v>8</v>
      </c>
      <c r="S65" s="24" t="s">
        <v>9</v>
      </c>
      <c r="T65" s="25" t="s">
        <v>14</v>
      </c>
    </row>
    <row r="66" spans="1:20" hidden="1" x14ac:dyDescent="0.25">
      <c r="A66" s="11" t="s">
        <v>59</v>
      </c>
      <c r="B66" s="11" t="s">
        <v>60</v>
      </c>
      <c r="C66" s="14" t="s">
        <v>61</v>
      </c>
      <c r="D66" s="11" t="s">
        <v>62</v>
      </c>
      <c r="E66" s="8" t="s">
        <v>63</v>
      </c>
      <c r="F66" s="9" t="s">
        <v>64</v>
      </c>
      <c r="G66" s="6" t="s">
        <v>65</v>
      </c>
      <c r="H66" s="6" t="s">
        <v>66</v>
      </c>
      <c r="I66" s="6" t="s">
        <v>67</v>
      </c>
      <c r="J66" s="6" t="s">
        <v>68</v>
      </c>
      <c r="K66" s="7" t="s">
        <v>69</v>
      </c>
      <c r="L66" s="6" t="s">
        <v>70</v>
      </c>
      <c r="M66" s="6" t="s">
        <v>71</v>
      </c>
      <c r="N66" s="6" t="s">
        <v>72</v>
      </c>
      <c r="O66" s="7" t="s">
        <v>73</v>
      </c>
      <c r="P66" s="13" t="s">
        <v>74</v>
      </c>
      <c r="Q66" s="5" t="s">
        <v>75</v>
      </c>
      <c r="R66" s="1" t="s">
        <v>76</v>
      </c>
      <c r="S66" s="1" t="s">
        <v>77</v>
      </c>
      <c r="T66" s="12" t="s">
        <v>78</v>
      </c>
    </row>
    <row r="67" spans="1:20" ht="30" x14ac:dyDescent="0.25">
      <c r="A67" s="11">
        <v>1</v>
      </c>
      <c r="B67" s="11" t="s">
        <v>134</v>
      </c>
      <c r="C67" s="14" t="s">
        <v>133</v>
      </c>
      <c r="D67" s="11" t="s">
        <v>4</v>
      </c>
      <c r="E67" s="8">
        <v>10</v>
      </c>
      <c r="F67" s="9">
        <v>4420.2</v>
      </c>
      <c r="G67" s="6">
        <f>F67*$E67</f>
        <v>44202</v>
      </c>
      <c r="H67" s="6">
        <v>1500</v>
      </c>
      <c r="I67" s="6">
        <f>H67*$E67</f>
        <v>15000</v>
      </c>
      <c r="J67" s="6">
        <v>15000</v>
      </c>
      <c r="K67" s="7">
        <f>J67*$E67</f>
        <v>150000</v>
      </c>
      <c r="L67" s="6"/>
      <c r="M67" s="6">
        <f>L67*$E67</f>
        <v>0</v>
      </c>
      <c r="N67" s="6"/>
      <c r="O67" s="7">
        <f>N67*$E67</f>
        <v>0</v>
      </c>
      <c r="P67" s="13">
        <f>MEDIAN(J67,H67,F67,L67,N67)</f>
        <v>4420.2</v>
      </c>
      <c r="Q67" s="23" t="str">
        <f>_xlfn.XLOOKUP(P67,F67:O67,$F$64:$O$64)</f>
        <v>MARCON ENGENHARIA E CONSTRUÇÕES LTDA</v>
      </c>
      <c r="R67" s="1" t="str">
        <f>_xlfn.XLOOKUP(Q67,'RELAÇÃO DE FORNECEDORES'!$A$3:$A$287,'RELAÇÃO DE FORNECEDORES'!$B$3:$B$287)</f>
        <v>03.307.088/0001-87</v>
      </c>
      <c r="S67" s="1" t="str">
        <f>_xlfn.XLOOKUP(Q67,'RELAÇÃO DE FORNECEDORES'!$A$3:$A$287,'RELAÇÃO DE FORNECEDORES'!$E$3:$E$287)</f>
        <v>HERMUT RODRIGUES</v>
      </c>
      <c r="T67" s="12">
        <f>_xlfn.XLOOKUP(Q67,'RELAÇÃO DE FORNECEDORES'!$A$3:$A$287,'RELAÇÃO DE FORNECEDORES'!$C$3:$C$287)</f>
        <v>44327</v>
      </c>
    </row>
    <row r="71" spans="1:20" x14ac:dyDescent="0.25">
      <c r="A71" s="96" t="s">
        <v>143</v>
      </c>
      <c r="B71" s="96"/>
      <c r="C71" s="96"/>
      <c r="D71" s="96"/>
      <c r="E71" s="96"/>
      <c r="F71" s="96"/>
      <c r="G71" s="96"/>
      <c r="H71" s="96"/>
      <c r="I71" s="96"/>
      <c r="J71" s="96"/>
      <c r="K71" s="96"/>
      <c r="L71" s="96"/>
      <c r="M71" s="96"/>
      <c r="N71" s="96"/>
      <c r="O71" s="96"/>
      <c r="P71" s="96"/>
      <c r="Q71" s="96"/>
      <c r="R71" s="96"/>
      <c r="S71" s="96"/>
      <c r="T71" s="96"/>
    </row>
    <row r="72" spans="1:20" x14ac:dyDescent="0.25">
      <c r="A72" s="93" t="s">
        <v>27</v>
      </c>
      <c r="B72" s="93"/>
      <c r="C72" s="93"/>
      <c r="D72" s="93"/>
      <c r="E72" s="94"/>
      <c r="F72" s="95" t="s">
        <v>23</v>
      </c>
      <c r="G72" s="93"/>
      <c r="H72" s="93"/>
      <c r="I72" s="93"/>
      <c r="J72" s="93"/>
      <c r="K72" s="93"/>
      <c r="L72" s="93"/>
      <c r="M72" s="93"/>
      <c r="N72" s="93"/>
      <c r="O72" s="94"/>
      <c r="P72" s="78" t="s">
        <v>25</v>
      </c>
      <c r="Q72" s="78"/>
      <c r="R72" s="78"/>
      <c r="S72" s="78"/>
      <c r="T72" s="78"/>
    </row>
    <row r="73" spans="1:20" ht="72.75" customHeight="1" x14ac:dyDescent="0.25">
      <c r="A73" s="79" t="s">
        <v>1</v>
      </c>
      <c r="B73" s="79" t="s">
        <v>13</v>
      </c>
      <c r="C73" s="81" t="s">
        <v>0</v>
      </c>
      <c r="D73" s="79" t="s">
        <v>2</v>
      </c>
      <c r="E73" s="83" t="s">
        <v>17</v>
      </c>
      <c r="F73" s="85" t="s">
        <v>6</v>
      </c>
      <c r="G73" s="86"/>
      <c r="H73" s="86" t="s">
        <v>18</v>
      </c>
      <c r="I73" s="86"/>
      <c r="J73" s="86" t="s">
        <v>19</v>
      </c>
      <c r="K73" s="87"/>
      <c r="L73" s="86" t="s">
        <v>20</v>
      </c>
      <c r="M73" s="86"/>
      <c r="N73" s="86" t="s">
        <v>21</v>
      </c>
      <c r="O73" s="87"/>
      <c r="P73" s="88" t="s">
        <v>26</v>
      </c>
      <c r="Q73" s="79"/>
      <c r="R73" s="79"/>
      <c r="S73" s="79"/>
      <c r="T73" s="79"/>
    </row>
    <row r="74" spans="1:20" ht="72.75" customHeight="1" x14ac:dyDescent="0.25">
      <c r="A74" s="80"/>
      <c r="B74" s="80"/>
      <c r="C74" s="82"/>
      <c r="D74" s="80"/>
      <c r="E74" s="84"/>
      <c r="F74" s="90" t="s">
        <v>33</v>
      </c>
      <c r="G74" s="91"/>
      <c r="H74" s="91" t="s">
        <v>468</v>
      </c>
      <c r="I74" s="91"/>
      <c r="J74" s="91" t="s">
        <v>472</v>
      </c>
      <c r="K74" s="92"/>
      <c r="L74" s="91"/>
      <c r="M74" s="91"/>
      <c r="N74" s="91"/>
      <c r="O74" s="92"/>
      <c r="P74" s="89"/>
      <c r="Q74" s="78"/>
      <c r="R74" s="78"/>
      <c r="S74" s="78"/>
      <c r="T74" s="78"/>
    </row>
    <row r="75" spans="1:20" ht="25.5" x14ac:dyDescent="0.25">
      <c r="A75" s="80"/>
      <c r="B75" s="80"/>
      <c r="C75" s="82"/>
      <c r="D75" s="80"/>
      <c r="E75" s="18" t="s">
        <v>3</v>
      </c>
      <c r="F75" s="19" t="s">
        <v>15</v>
      </c>
      <c r="G75" s="25" t="s">
        <v>16</v>
      </c>
      <c r="H75" s="25" t="s">
        <v>15</v>
      </c>
      <c r="I75" s="25" t="s">
        <v>16</v>
      </c>
      <c r="J75" s="25" t="s">
        <v>15</v>
      </c>
      <c r="K75" s="21" t="s">
        <v>16</v>
      </c>
      <c r="L75" s="25" t="s">
        <v>15</v>
      </c>
      <c r="M75" s="25" t="s">
        <v>16</v>
      </c>
      <c r="N75" s="25" t="s">
        <v>15</v>
      </c>
      <c r="O75" s="21" t="s">
        <v>16</v>
      </c>
      <c r="P75" s="24" t="s">
        <v>24</v>
      </c>
      <c r="Q75" s="24" t="s">
        <v>5</v>
      </c>
      <c r="R75" s="24" t="s">
        <v>8</v>
      </c>
      <c r="S75" s="24" t="s">
        <v>9</v>
      </c>
      <c r="T75" s="25" t="s">
        <v>14</v>
      </c>
    </row>
    <row r="76" spans="1:20" hidden="1" x14ac:dyDescent="0.25">
      <c r="A76" s="11" t="s">
        <v>59</v>
      </c>
      <c r="B76" s="11" t="s">
        <v>60</v>
      </c>
      <c r="C76" s="14" t="s">
        <v>61</v>
      </c>
      <c r="D76" s="11" t="s">
        <v>62</v>
      </c>
      <c r="E76" s="8" t="s">
        <v>63</v>
      </c>
      <c r="F76" s="9" t="s">
        <v>64</v>
      </c>
      <c r="G76" s="6" t="s">
        <v>65</v>
      </c>
      <c r="H76" s="6" t="s">
        <v>66</v>
      </c>
      <c r="I76" s="6" t="s">
        <v>67</v>
      </c>
      <c r="J76" s="6" t="s">
        <v>68</v>
      </c>
      <c r="K76" s="7" t="s">
        <v>69</v>
      </c>
      <c r="L76" s="6" t="s">
        <v>70</v>
      </c>
      <c r="M76" s="6" t="s">
        <v>71</v>
      </c>
      <c r="N76" s="6" t="s">
        <v>72</v>
      </c>
      <c r="O76" s="7" t="s">
        <v>73</v>
      </c>
      <c r="P76" s="13" t="s">
        <v>74</v>
      </c>
      <c r="Q76" s="5" t="s">
        <v>75</v>
      </c>
      <c r="R76" s="1" t="s">
        <v>76</v>
      </c>
      <c r="S76" s="1" t="s">
        <v>77</v>
      </c>
      <c r="T76" s="12" t="s">
        <v>78</v>
      </c>
    </row>
    <row r="77" spans="1:20" ht="37.5" customHeight="1" x14ac:dyDescent="0.25">
      <c r="A77" s="11">
        <v>1</v>
      </c>
      <c r="B77" s="11" t="s">
        <v>145</v>
      </c>
      <c r="C77" s="14" t="s">
        <v>144</v>
      </c>
      <c r="D77" s="11" t="s">
        <v>4</v>
      </c>
      <c r="E77" s="8">
        <v>2</v>
      </c>
      <c r="F77" s="9">
        <v>66801</v>
      </c>
      <c r="G77" s="6">
        <f>F77*$E77</f>
        <v>133602</v>
      </c>
      <c r="H77" s="6">
        <v>74262</v>
      </c>
      <c r="I77" s="6">
        <f>H77*$E77</f>
        <v>148524</v>
      </c>
      <c r="J77" s="6">
        <v>71200</v>
      </c>
      <c r="K77" s="7">
        <f>J77*$E77</f>
        <v>142400</v>
      </c>
      <c r="L77" s="6"/>
      <c r="M77" s="6">
        <f>L77*$E77</f>
        <v>0</v>
      </c>
      <c r="N77" s="6"/>
      <c r="O77" s="7">
        <f>N77*$E77</f>
        <v>0</v>
      </c>
      <c r="P77" s="13">
        <f>MEDIAN(J77,H77,F77,L77,N77)</f>
        <v>71200</v>
      </c>
      <c r="Q77" s="23" t="str">
        <f>_xlfn.XLOOKUP(P77,F77:O77,$F74:$O74)</f>
        <v>DOSITEC BOMBAS E COMPR. IND E COM EIRELI</v>
      </c>
      <c r="R77" s="1" t="str">
        <f>_xlfn.XLOOKUP(Q77,'RELAÇÃO DE FORNECEDORES'!$A$3:$A$287,'RELAÇÃO DE FORNECEDORES'!$B$3:$B$287)</f>
        <v>66.707.654/0001-68</v>
      </c>
      <c r="S77" s="1" t="str">
        <f>_xlfn.XLOOKUP(Q77,'RELAÇÃO DE FORNECEDORES'!$A$3:$A$287,'RELAÇÃO DE FORNECEDORES'!$E$3:$E$287)</f>
        <v>JOSE</v>
      </c>
      <c r="T77" s="12">
        <f>_xlfn.XLOOKUP(Q77,'RELAÇÃO DE FORNECEDORES'!$A$3:$A$287,'RELAÇÃO DE FORNECEDORES'!$C$3:$C$287)</f>
        <v>44508</v>
      </c>
    </row>
    <row r="82" spans="1:20" x14ac:dyDescent="0.25">
      <c r="A82" s="96" t="s">
        <v>152</v>
      </c>
      <c r="B82" s="96"/>
      <c r="C82" s="96"/>
      <c r="D82" s="96"/>
      <c r="E82" s="96"/>
      <c r="F82" s="96"/>
      <c r="G82" s="96"/>
      <c r="H82" s="96"/>
      <c r="I82" s="96"/>
      <c r="J82" s="96"/>
      <c r="K82" s="96"/>
      <c r="L82" s="96"/>
      <c r="M82" s="96"/>
      <c r="N82" s="96"/>
      <c r="O82" s="96"/>
      <c r="P82" s="96"/>
      <c r="Q82" s="96"/>
      <c r="R82" s="96"/>
      <c r="S82" s="96"/>
      <c r="T82" s="96"/>
    </row>
    <row r="83" spans="1:20" x14ac:dyDescent="0.25">
      <c r="A83" s="93" t="s">
        <v>27</v>
      </c>
      <c r="B83" s="93"/>
      <c r="C83" s="93"/>
      <c r="D83" s="93"/>
      <c r="E83" s="94"/>
      <c r="F83" s="95" t="s">
        <v>23</v>
      </c>
      <c r="G83" s="93"/>
      <c r="H83" s="93"/>
      <c r="I83" s="93"/>
      <c r="J83" s="93"/>
      <c r="K83" s="93"/>
      <c r="L83" s="93"/>
      <c r="M83" s="93"/>
      <c r="N83" s="93"/>
      <c r="O83" s="94"/>
      <c r="P83" s="78" t="s">
        <v>25</v>
      </c>
      <c r="Q83" s="78"/>
      <c r="R83" s="78"/>
      <c r="S83" s="78"/>
      <c r="T83" s="78"/>
    </row>
    <row r="84" spans="1:20" ht="57.75" customHeight="1" x14ac:dyDescent="0.25">
      <c r="A84" s="79" t="s">
        <v>1</v>
      </c>
      <c r="B84" s="79" t="s">
        <v>13</v>
      </c>
      <c r="C84" s="81" t="s">
        <v>0</v>
      </c>
      <c r="D84" s="79" t="s">
        <v>2</v>
      </c>
      <c r="E84" s="83" t="s">
        <v>17</v>
      </c>
      <c r="F84" s="85" t="s">
        <v>6</v>
      </c>
      <c r="G84" s="86"/>
      <c r="H84" s="86" t="s">
        <v>18</v>
      </c>
      <c r="I84" s="86"/>
      <c r="J84" s="86" t="s">
        <v>19</v>
      </c>
      <c r="K84" s="87"/>
      <c r="L84" s="86" t="s">
        <v>20</v>
      </c>
      <c r="M84" s="86"/>
      <c r="N84" s="86" t="s">
        <v>21</v>
      </c>
      <c r="O84" s="87"/>
      <c r="P84" s="88" t="s">
        <v>26</v>
      </c>
      <c r="Q84" s="79"/>
      <c r="R84" s="79"/>
      <c r="S84" s="79"/>
      <c r="T84" s="79"/>
    </row>
    <row r="85" spans="1:20" ht="57.75" customHeight="1" x14ac:dyDescent="0.25">
      <c r="A85" s="80"/>
      <c r="B85" s="80"/>
      <c r="C85" s="82"/>
      <c r="D85" s="80"/>
      <c r="E85" s="84"/>
      <c r="F85" s="90" t="s">
        <v>33</v>
      </c>
      <c r="G85" s="91"/>
      <c r="H85" s="91" t="s">
        <v>148</v>
      </c>
      <c r="I85" s="91"/>
      <c r="J85" s="91" t="s">
        <v>472</v>
      </c>
      <c r="K85" s="92"/>
      <c r="L85" s="91"/>
      <c r="M85" s="91"/>
      <c r="N85" s="91"/>
      <c r="O85" s="92"/>
      <c r="P85" s="89"/>
      <c r="Q85" s="78"/>
      <c r="R85" s="78"/>
      <c r="S85" s="78"/>
      <c r="T85" s="78"/>
    </row>
    <row r="86" spans="1:20" ht="25.5" x14ac:dyDescent="0.25">
      <c r="A86" s="80"/>
      <c r="B86" s="80"/>
      <c r="C86" s="82"/>
      <c r="D86" s="80"/>
      <c r="E86" s="18" t="s">
        <v>3</v>
      </c>
      <c r="F86" s="19" t="s">
        <v>15</v>
      </c>
      <c r="G86" s="25" t="s">
        <v>16</v>
      </c>
      <c r="H86" s="25" t="s">
        <v>15</v>
      </c>
      <c r="I86" s="25" t="s">
        <v>16</v>
      </c>
      <c r="J86" s="25" t="s">
        <v>15</v>
      </c>
      <c r="K86" s="21" t="s">
        <v>16</v>
      </c>
      <c r="L86" s="25" t="s">
        <v>15</v>
      </c>
      <c r="M86" s="25" t="s">
        <v>16</v>
      </c>
      <c r="N86" s="25" t="s">
        <v>15</v>
      </c>
      <c r="O86" s="21" t="s">
        <v>16</v>
      </c>
      <c r="P86" s="24" t="s">
        <v>24</v>
      </c>
      <c r="Q86" s="24" t="s">
        <v>5</v>
      </c>
      <c r="R86" s="24" t="s">
        <v>8</v>
      </c>
      <c r="S86" s="24" t="s">
        <v>9</v>
      </c>
      <c r="T86" s="25" t="s">
        <v>14</v>
      </c>
    </row>
    <row r="87" spans="1:20" hidden="1" x14ac:dyDescent="0.25">
      <c r="A87" s="11" t="s">
        <v>59</v>
      </c>
      <c r="B87" s="11" t="s">
        <v>60</v>
      </c>
      <c r="C87" s="14" t="s">
        <v>61</v>
      </c>
      <c r="D87" s="11" t="s">
        <v>62</v>
      </c>
      <c r="E87" s="8" t="s">
        <v>63</v>
      </c>
      <c r="F87" s="9" t="s">
        <v>64</v>
      </c>
      <c r="G87" s="6" t="s">
        <v>65</v>
      </c>
      <c r="H87" s="6" t="s">
        <v>66</v>
      </c>
      <c r="I87" s="6" t="s">
        <v>67</v>
      </c>
      <c r="J87" s="6" t="s">
        <v>68</v>
      </c>
      <c r="K87" s="7" t="s">
        <v>69</v>
      </c>
      <c r="L87" s="6" t="s">
        <v>70</v>
      </c>
      <c r="M87" s="6" t="s">
        <v>71</v>
      </c>
      <c r="N87" s="6" t="s">
        <v>72</v>
      </c>
      <c r="O87" s="7" t="s">
        <v>73</v>
      </c>
      <c r="P87" s="13" t="s">
        <v>74</v>
      </c>
      <c r="Q87" s="5" t="s">
        <v>75</v>
      </c>
      <c r="R87" s="1" t="s">
        <v>76</v>
      </c>
      <c r="S87" s="1" t="s">
        <v>77</v>
      </c>
      <c r="T87" s="12" t="s">
        <v>78</v>
      </c>
    </row>
    <row r="88" spans="1:20" ht="38.25" x14ac:dyDescent="0.25">
      <c r="A88" s="11">
        <v>1</v>
      </c>
      <c r="B88" s="11" t="s">
        <v>147</v>
      </c>
      <c r="C88" s="14" t="s">
        <v>146</v>
      </c>
      <c r="D88" s="11" t="s">
        <v>4</v>
      </c>
      <c r="E88" s="8">
        <v>4</v>
      </c>
      <c r="F88" s="9">
        <v>42340</v>
      </c>
      <c r="G88" s="6">
        <f>F88*$E88</f>
        <v>169360</v>
      </c>
      <c r="H88" s="6">
        <v>42462.25</v>
      </c>
      <c r="I88" s="6">
        <f>H88*$E88</f>
        <v>169849</v>
      </c>
      <c r="J88" s="6">
        <v>11930</v>
      </c>
      <c r="K88" s="7">
        <f>J88*$E88</f>
        <v>47720</v>
      </c>
      <c r="L88" s="6"/>
      <c r="M88" s="6">
        <f>L88*$E88</f>
        <v>0</v>
      </c>
      <c r="N88" s="6"/>
      <c r="O88" s="7">
        <f>N88*$E88</f>
        <v>0</v>
      </c>
      <c r="P88" s="13">
        <f>MEDIAN(J88,H88,F88,L88,N88)</f>
        <v>42340</v>
      </c>
      <c r="Q88" s="23" t="str">
        <f>_xlfn.XLOOKUP(P88,F88:O88,$F85:$O85)</f>
        <v>OMEL BOMBAS E COMPRESSORES LTDA</v>
      </c>
      <c r="R88" s="1" t="str">
        <f>_xlfn.XLOOKUP(Q88,'RELAÇÃO DE FORNECEDORES'!$A$3:$A$287,'RELAÇÃO DE FORNECEDORES'!$B$3:$B$287)</f>
        <v>67.693.440/0001-42</v>
      </c>
      <c r="S88" s="1" t="str">
        <f>_xlfn.XLOOKUP(Q88,'RELAÇÃO DE FORNECEDORES'!$A$3:$A$287,'RELAÇÃO DE FORNECEDORES'!$E$3:$E$287)</f>
        <v>JEFFERSON JOAQUIM</v>
      </c>
      <c r="T88" s="12">
        <f>_xlfn.XLOOKUP(Q88,'RELAÇÃO DE FORNECEDORES'!$A$3:$A$287,'RELAÇÃO DE FORNECEDORES'!$C$3:$C$287)</f>
        <v>44326</v>
      </c>
    </row>
    <row r="93" spans="1:20" x14ac:dyDescent="0.25">
      <c r="A93" s="96" t="s">
        <v>165</v>
      </c>
      <c r="B93" s="96"/>
      <c r="C93" s="96"/>
      <c r="D93" s="96"/>
      <c r="E93" s="96"/>
      <c r="F93" s="96"/>
      <c r="G93" s="96"/>
      <c r="H93" s="96"/>
      <c r="I93" s="96"/>
      <c r="J93" s="96"/>
      <c r="K93" s="96"/>
      <c r="L93" s="96"/>
      <c r="M93" s="96"/>
      <c r="N93" s="96"/>
      <c r="O93" s="96"/>
      <c r="P93" s="96"/>
      <c r="Q93" s="96"/>
      <c r="R93" s="96"/>
      <c r="S93" s="96"/>
      <c r="T93" s="96"/>
    </row>
    <row r="94" spans="1:20" x14ac:dyDescent="0.25">
      <c r="A94" s="93" t="s">
        <v>27</v>
      </c>
      <c r="B94" s="93"/>
      <c r="C94" s="93"/>
      <c r="D94" s="93"/>
      <c r="E94" s="94"/>
      <c r="F94" s="95" t="s">
        <v>23</v>
      </c>
      <c r="G94" s="93"/>
      <c r="H94" s="93"/>
      <c r="I94" s="93"/>
      <c r="J94" s="93"/>
      <c r="K94" s="93"/>
      <c r="L94" s="93"/>
      <c r="M94" s="93"/>
      <c r="N94" s="93"/>
      <c r="O94" s="94"/>
      <c r="P94" s="78" t="s">
        <v>25</v>
      </c>
      <c r="Q94" s="78"/>
      <c r="R94" s="78"/>
      <c r="S94" s="78"/>
      <c r="T94" s="78"/>
    </row>
    <row r="95" spans="1:20" ht="72.75" customHeight="1" x14ac:dyDescent="0.25">
      <c r="A95" s="79" t="s">
        <v>1</v>
      </c>
      <c r="B95" s="79" t="s">
        <v>13</v>
      </c>
      <c r="C95" s="81" t="s">
        <v>0</v>
      </c>
      <c r="D95" s="79" t="s">
        <v>2</v>
      </c>
      <c r="E95" s="83" t="s">
        <v>17</v>
      </c>
      <c r="F95" s="85" t="s">
        <v>6</v>
      </c>
      <c r="G95" s="86"/>
      <c r="H95" s="86" t="s">
        <v>18</v>
      </c>
      <c r="I95" s="86"/>
      <c r="J95" s="86" t="s">
        <v>19</v>
      </c>
      <c r="K95" s="87"/>
      <c r="L95" s="86" t="s">
        <v>20</v>
      </c>
      <c r="M95" s="86"/>
      <c r="N95" s="86" t="s">
        <v>21</v>
      </c>
      <c r="O95" s="87"/>
      <c r="P95" s="88" t="s">
        <v>26</v>
      </c>
      <c r="Q95" s="79"/>
      <c r="R95" s="79"/>
      <c r="S95" s="79"/>
      <c r="T95" s="79"/>
    </row>
    <row r="96" spans="1:20" ht="72.75" customHeight="1" x14ac:dyDescent="0.25">
      <c r="A96" s="80"/>
      <c r="B96" s="80"/>
      <c r="C96" s="82"/>
      <c r="D96" s="80"/>
      <c r="E96" s="84"/>
      <c r="F96" s="90" t="s">
        <v>110</v>
      </c>
      <c r="G96" s="91"/>
      <c r="H96" s="91" t="s">
        <v>104</v>
      </c>
      <c r="I96" s="91"/>
      <c r="J96" s="91" t="s">
        <v>206</v>
      </c>
      <c r="K96" s="92"/>
      <c r="L96" s="91"/>
      <c r="M96" s="91"/>
      <c r="N96" s="91"/>
      <c r="O96" s="92"/>
      <c r="P96" s="89"/>
      <c r="Q96" s="78"/>
      <c r="R96" s="78"/>
      <c r="S96" s="78"/>
      <c r="T96" s="78"/>
    </row>
    <row r="97" spans="1:20" ht="25.5" x14ac:dyDescent="0.25">
      <c r="A97" s="80"/>
      <c r="B97" s="80"/>
      <c r="C97" s="82"/>
      <c r="D97" s="80"/>
      <c r="E97" s="18" t="s">
        <v>3</v>
      </c>
      <c r="F97" s="19" t="s">
        <v>15</v>
      </c>
      <c r="G97" s="25" t="s">
        <v>16</v>
      </c>
      <c r="H97" s="25" t="s">
        <v>15</v>
      </c>
      <c r="I97" s="25" t="s">
        <v>16</v>
      </c>
      <c r="J97" s="25" t="s">
        <v>15</v>
      </c>
      <c r="K97" s="21" t="s">
        <v>16</v>
      </c>
      <c r="L97" s="25" t="s">
        <v>15</v>
      </c>
      <c r="M97" s="25" t="s">
        <v>16</v>
      </c>
      <c r="N97" s="25" t="s">
        <v>15</v>
      </c>
      <c r="O97" s="21" t="s">
        <v>16</v>
      </c>
      <c r="P97" s="24" t="s">
        <v>24</v>
      </c>
      <c r="Q97" s="24" t="s">
        <v>5</v>
      </c>
      <c r="R97" s="24" t="s">
        <v>8</v>
      </c>
      <c r="S97" s="24" t="s">
        <v>9</v>
      </c>
      <c r="T97" s="25" t="s">
        <v>14</v>
      </c>
    </row>
    <row r="98" spans="1:20" hidden="1" x14ac:dyDescent="0.25">
      <c r="A98" s="11" t="s">
        <v>59</v>
      </c>
      <c r="B98" s="11" t="s">
        <v>60</v>
      </c>
      <c r="C98" s="14" t="s">
        <v>61</v>
      </c>
      <c r="D98" s="11" t="s">
        <v>62</v>
      </c>
      <c r="E98" s="8" t="s">
        <v>63</v>
      </c>
      <c r="F98" s="9" t="s">
        <v>64</v>
      </c>
      <c r="G98" s="6" t="s">
        <v>65</v>
      </c>
      <c r="H98" s="6" t="s">
        <v>66</v>
      </c>
      <c r="I98" s="6" t="s">
        <v>67</v>
      </c>
      <c r="J98" s="6" t="s">
        <v>68</v>
      </c>
      <c r="K98" s="7" t="s">
        <v>69</v>
      </c>
      <c r="L98" s="6" t="s">
        <v>70</v>
      </c>
      <c r="M98" s="6" t="s">
        <v>71</v>
      </c>
      <c r="N98" s="6" t="s">
        <v>72</v>
      </c>
      <c r="O98" s="7" t="s">
        <v>73</v>
      </c>
      <c r="P98" s="13" t="s">
        <v>74</v>
      </c>
      <c r="Q98" s="5" t="s">
        <v>75</v>
      </c>
      <c r="R98" s="1" t="s">
        <v>76</v>
      </c>
      <c r="S98" s="1" t="s">
        <v>77</v>
      </c>
      <c r="T98" s="12" t="s">
        <v>78</v>
      </c>
    </row>
    <row r="99" spans="1:20" ht="38.25" x14ac:dyDescent="0.25">
      <c r="A99" s="11">
        <v>1</v>
      </c>
      <c r="B99" s="11" t="s">
        <v>167</v>
      </c>
      <c r="C99" s="14" t="s">
        <v>166</v>
      </c>
      <c r="D99" s="11" t="s">
        <v>4</v>
      </c>
      <c r="E99" s="8">
        <v>1</v>
      </c>
      <c r="F99" s="9">
        <v>136963.6</v>
      </c>
      <c r="G99" s="6">
        <f>F99*$E99</f>
        <v>136963.6</v>
      </c>
      <c r="H99" s="6"/>
      <c r="I99" s="6">
        <f>H99*$E99</f>
        <v>0</v>
      </c>
      <c r="J99" s="6"/>
      <c r="K99" s="7">
        <f>J99*$E99</f>
        <v>0</v>
      </c>
      <c r="L99" s="6"/>
      <c r="M99" s="6">
        <f>L99*$E99</f>
        <v>0</v>
      </c>
      <c r="N99" s="6"/>
      <c r="O99" s="7">
        <f>N99*$E99</f>
        <v>0</v>
      </c>
      <c r="P99" s="13">
        <f>MEDIAN(J99,H99,F99,L99,N99)</f>
        <v>136963.6</v>
      </c>
      <c r="Q99" s="23" t="str">
        <f t="shared" ref="Q99" si="14">_xlfn.XLOOKUP(P99,F99:O99,$F96:$O96)</f>
        <v>SELCO ENGENHARIA LTDA</v>
      </c>
      <c r="R99" s="1" t="str">
        <f>_xlfn.XLOOKUP(Q99,'RELAÇÃO DE FORNECEDORES'!$A$3:$A$287,'RELAÇÃO DE FORNECEDORES'!$B$3:$B$287)</f>
        <v>01.303.940/0001-12</v>
      </c>
      <c r="S99" s="1" t="str">
        <f>_xlfn.XLOOKUP(Q99,'RELAÇÃO DE FORNECEDORES'!$A$3:$A$287,'RELAÇÃO DE FORNECEDORES'!$E$3:$E$287)</f>
        <v>GLADSON</v>
      </c>
      <c r="T99" s="12">
        <f>_xlfn.XLOOKUP(Q99,'RELAÇÃO DE FORNECEDORES'!$A$3:$A$287,'RELAÇÃO DE FORNECEDORES'!$C$3:$C$287)</f>
        <v>44467</v>
      </c>
    </row>
    <row r="100" spans="1:20" ht="25.5" x14ac:dyDescent="0.25">
      <c r="A100" s="11">
        <v>2</v>
      </c>
      <c r="B100" s="1" t="s">
        <v>169</v>
      </c>
      <c r="C100" s="2" t="s">
        <v>168</v>
      </c>
      <c r="D100" s="1" t="s">
        <v>4</v>
      </c>
      <c r="E100" s="8">
        <v>1</v>
      </c>
      <c r="F100" s="9">
        <v>107606.95</v>
      </c>
      <c r="G100" s="15">
        <f t="shared" ref="G100" si="15">F100*$E100</f>
        <v>107606.95</v>
      </c>
      <c r="H100" s="6">
        <v>266910</v>
      </c>
      <c r="I100" s="6">
        <f>H100*$E100</f>
        <v>266910</v>
      </c>
      <c r="J100" s="6">
        <v>300000</v>
      </c>
      <c r="K100" s="7">
        <f>J100*$E100</f>
        <v>300000</v>
      </c>
      <c r="L100" s="6"/>
      <c r="M100" s="6">
        <f>L100*$E100</f>
        <v>0</v>
      </c>
      <c r="N100" s="6"/>
      <c r="O100" s="7">
        <f>N100*$E100</f>
        <v>0</v>
      </c>
      <c r="P100" s="13">
        <f>MEDIAN(J100,H100,F100,L100,N100)</f>
        <v>266910</v>
      </c>
      <c r="Q100" s="26" t="str">
        <f>_xlfn.XLOOKUP(P100,F100:O100,$F96:$O96)</f>
        <v>KSB: BOMBAS, VÁLVULAS E SERVIÇO</v>
      </c>
      <c r="R100" s="1" t="str">
        <f>_xlfn.XLOOKUP(Q100,'RELAÇÃO DE FORNECEDORES'!$A$3:$A$287,'RELAÇÃO DE FORNECEDORES'!$B$3:$B$287)</f>
        <v>60.680.873/0001-14</v>
      </c>
      <c r="S100" s="1" t="str">
        <f>_xlfn.XLOOKUP(Q100,'RELAÇÃO DE FORNECEDORES'!$A$3:$A$287,'RELAÇÃO DE FORNECEDORES'!$E$3:$E$287)</f>
        <v>FANCISCO DIAS</v>
      </c>
      <c r="T100" s="12">
        <f>_xlfn.XLOOKUP(Q100,'RELAÇÃO DE FORNECEDORES'!$A$3:$A$287,'RELAÇÃO DE FORNECEDORES'!$C$3:$C$287)</f>
        <v>44321</v>
      </c>
    </row>
    <row r="101" spans="1:20" ht="25.5" x14ac:dyDescent="0.25">
      <c r="A101" s="11">
        <v>3</v>
      </c>
      <c r="B101" s="1" t="s">
        <v>171</v>
      </c>
      <c r="C101" s="2" t="s">
        <v>170</v>
      </c>
      <c r="D101" s="1" t="s">
        <v>4</v>
      </c>
      <c r="E101" s="8">
        <v>1</v>
      </c>
      <c r="F101" s="9">
        <v>74832.42</v>
      </c>
      <c r="G101" s="15">
        <f>F101*$E101</f>
        <v>74832.42</v>
      </c>
      <c r="H101" s="6">
        <v>154888</v>
      </c>
      <c r="I101" s="6">
        <f>H101*$E101</f>
        <v>154888</v>
      </c>
      <c r="J101" s="6">
        <v>170000</v>
      </c>
      <c r="K101" s="7">
        <f>J101*$E101</f>
        <v>170000</v>
      </c>
      <c r="L101" s="6"/>
      <c r="M101" s="6">
        <f>L101*$E101</f>
        <v>0</v>
      </c>
      <c r="N101" s="6"/>
      <c r="O101" s="7">
        <f>N101*$E101</f>
        <v>0</v>
      </c>
      <c r="P101" s="13">
        <f>MEDIAN(J101,H101,F101,L101,N101)</f>
        <v>154888</v>
      </c>
      <c r="Q101" s="26" t="str">
        <f>_xlfn.XLOOKUP(P101,F101:O101,$F96:$O96)</f>
        <v>KSB: BOMBAS, VÁLVULAS E SERVIÇO</v>
      </c>
      <c r="R101" s="1" t="str">
        <f>_xlfn.XLOOKUP(Q101,'RELAÇÃO DE FORNECEDORES'!$A$3:$A$287,'RELAÇÃO DE FORNECEDORES'!$B$3:$B$287)</f>
        <v>60.680.873/0001-14</v>
      </c>
      <c r="S101" s="1" t="str">
        <f>_xlfn.XLOOKUP(Q101,'RELAÇÃO DE FORNECEDORES'!$A$3:$A$287,'RELAÇÃO DE FORNECEDORES'!$E$3:$E$287)</f>
        <v>FANCISCO DIAS</v>
      </c>
      <c r="T101" s="12">
        <f>_xlfn.XLOOKUP(Q101,'RELAÇÃO DE FORNECEDORES'!$A$3:$A$287,'RELAÇÃO DE FORNECEDORES'!$C$3:$C$287)</f>
        <v>44321</v>
      </c>
    </row>
    <row r="102" spans="1:20" x14ac:dyDescent="0.25">
      <c r="A102" s="11">
        <v>3</v>
      </c>
      <c r="B102" s="1" t="s">
        <v>173</v>
      </c>
      <c r="C102" s="2" t="s">
        <v>172</v>
      </c>
      <c r="D102" s="1" t="s">
        <v>4</v>
      </c>
      <c r="E102" s="8">
        <v>1</v>
      </c>
      <c r="F102" s="9">
        <v>93801.91</v>
      </c>
      <c r="G102" s="15">
        <f>F102*$E102</f>
        <v>93801.91</v>
      </c>
      <c r="H102" s="6"/>
      <c r="I102" s="6">
        <f>H102*$E102</f>
        <v>0</v>
      </c>
      <c r="J102" s="6"/>
      <c r="K102" s="7">
        <f>J102*$E102</f>
        <v>0</v>
      </c>
      <c r="L102" s="6"/>
      <c r="M102" s="6">
        <f>L102*$E102</f>
        <v>0</v>
      </c>
      <c r="N102" s="6"/>
      <c r="O102" s="7">
        <f>N102*$E102</f>
        <v>0</v>
      </c>
      <c r="P102" s="13">
        <f>MEDIAN(J102,H102,F102,L102,N102)</f>
        <v>93801.91</v>
      </c>
      <c r="Q102" s="26" t="str">
        <f>_xlfn.XLOOKUP(P102,F102:O102,$F96:$O96)</f>
        <v>SELCO ENGENHARIA LTDA</v>
      </c>
      <c r="R102" s="1" t="str">
        <f>_xlfn.XLOOKUP(Q102,'RELAÇÃO DE FORNECEDORES'!$A$3:$A$287,'RELAÇÃO DE FORNECEDORES'!$B$3:$B$287)</f>
        <v>01.303.940/0001-12</v>
      </c>
      <c r="S102" s="1" t="str">
        <f>_xlfn.XLOOKUP(Q102,'RELAÇÃO DE FORNECEDORES'!$A$3:$A$287,'RELAÇÃO DE FORNECEDORES'!$E$3:$E$287)</f>
        <v>GLADSON</v>
      </c>
      <c r="T102" s="12">
        <f>_xlfn.XLOOKUP(Q102,'RELAÇÃO DE FORNECEDORES'!$A$3:$A$287,'RELAÇÃO DE FORNECEDORES'!$C$3:$C$287)</f>
        <v>44467</v>
      </c>
    </row>
  </sheetData>
  <mergeCells count="180">
    <mergeCell ref="A4:T4"/>
    <mergeCell ref="A5:E5"/>
    <mergeCell ref="F5:O5"/>
    <mergeCell ref="P5:T5"/>
    <mergeCell ref="A6:A8"/>
    <mergeCell ref="B6:B8"/>
    <mergeCell ref="C6:C8"/>
    <mergeCell ref="D6:D8"/>
    <mergeCell ref="E6:E7"/>
    <mergeCell ref="F6:G6"/>
    <mergeCell ref="H6:I6"/>
    <mergeCell ref="J6:K6"/>
    <mergeCell ref="L6:M6"/>
    <mergeCell ref="N6:O6"/>
    <mergeCell ref="P6:T7"/>
    <mergeCell ref="F7:G7"/>
    <mergeCell ref="H7:I7"/>
    <mergeCell ref="J7:K7"/>
    <mergeCell ref="L7:M7"/>
    <mergeCell ref="N7:O7"/>
    <mergeCell ref="A19:T19"/>
    <mergeCell ref="A20:E20"/>
    <mergeCell ref="F20:O20"/>
    <mergeCell ref="P20:T20"/>
    <mergeCell ref="A21:A23"/>
    <mergeCell ref="B21:B23"/>
    <mergeCell ref="C21:C23"/>
    <mergeCell ref="D21:D23"/>
    <mergeCell ref="E21:E22"/>
    <mergeCell ref="F21:G21"/>
    <mergeCell ref="H21:I21"/>
    <mergeCell ref="J21:K21"/>
    <mergeCell ref="L21:M21"/>
    <mergeCell ref="N21:O21"/>
    <mergeCell ref="P21:T22"/>
    <mergeCell ref="F22:G22"/>
    <mergeCell ref="H22:I22"/>
    <mergeCell ref="J22:K22"/>
    <mergeCell ref="L22:M22"/>
    <mergeCell ref="N22:O22"/>
    <mergeCell ref="A29:T29"/>
    <mergeCell ref="A30:E30"/>
    <mergeCell ref="F30:O30"/>
    <mergeCell ref="P30:T30"/>
    <mergeCell ref="A31:A33"/>
    <mergeCell ref="B31:B33"/>
    <mergeCell ref="C31:C33"/>
    <mergeCell ref="D31:D33"/>
    <mergeCell ref="E31:E32"/>
    <mergeCell ref="F31:G31"/>
    <mergeCell ref="H31:I31"/>
    <mergeCell ref="J31:K31"/>
    <mergeCell ref="L31:M31"/>
    <mergeCell ref="N31:O31"/>
    <mergeCell ref="P31:T32"/>
    <mergeCell ref="F32:G32"/>
    <mergeCell ref="H32:I32"/>
    <mergeCell ref="J32:K32"/>
    <mergeCell ref="L32:M32"/>
    <mergeCell ref="N32:O32"/>
    <mergeCell ref="A40:T40"/>
    <mergeCell ref="A41:E41"/>
    <mergeCell ref="F41:O41"/>
    <mergeCell ref="P41:T41"/>
    <mergeCell ref="A42:A44"/>
    <mergeCell ref="B42:B44"/>
    <mergeCell ref="C42:C44"/>
    <mergeCell ref="D42:D44"/>
    <mergeCell ref="E42:E43"/>
    <mergeCell ref="F42:G42"/>
    <mergeCell ref="H42:I42"/>
    <mergeCell ref="J42:K42"/>
    <mergeCell ref="L42:M42"/>
    <mergeCell ref="N42:O42"/>
    <mergeCell ref="P42:T43"/>
    <mergeCell ref="F43:G43"/>
    <mergeCell ref="H43:I43"/>
    <mergeCell ref="J43:K43"/>
    <mergeCell ref="L43:M43"/>
    <mergeCell ref="N43:O43"/>
    <mergeCell ref="A61:T61"/>
    <mergeCell ref="A62:E62"/>
    <mergeCell ref="F62:O62"/>
    <mergeCell ref="P62:T62"/>
    <mergeCell ref="A63:A65"/>
    <mergeCell ref="B63:B65"/>
    <mergeCell ref="C63:C65"/>
    <mergeCell ref="D63:D65"/>
    <mergeCell ref="E63:E64"/>
    <mergeCell ref="F63:G63"/>
    <mergeCell ref="H63:I63"/>
    <mergeCell ref="J63:K63"/>
    <mergeCell ref="L63:M63"/>
    <mergeCell ref="N63:O63"/>
    <mergeCell ref="P63:T64"/>
    <mergeCell ref="F64:G64"/>
    <mergeCell ref="H64:I64"/>
    <mergeCell ref="J64:K64"/>
    <mergeCell ref="L64:M64"/>
    <mergeCell ref="N64:O64"/>
    <mergeCell ref="A71:T71"/>
    <mergeCell ref="A72:E72"/>
    <mergeCell ref="F72:O72"/>
    <mergeCell ref="P72:T72"/>
    <mergeCell ref="A73:A75"/>
    <mergeCell ref="B73:B75"/>
    <mergeCell ref="C73:C75"/>
    <mergeCell ref="D73:D75"/>
    <mergeCell ref="E73:E74"/>
    <mergeCell ref="F73:G73"/>
    <mergeCell ref="H73:I73"/>
    <mergeCell ref="J73:K73"/>
    <mergeCell ref="L73:M73"/>
    <mergeCell ref="N73:O73"/>
    <mergeCell ref="P73:T74"/>
    <mergeCell ref="F74:G74"/>
    <mergeCell ref="H74:I74"/>
    <mergeCell ref="J74:K74"/>
    <mergeCell ref="L74:M74"/>
    <mergeCell ref="N74:O74"/>
    <mergeCell ref="A82:T82"/>
    <mergeCell ref="A83:E83"/>
    <mergeCell ref="F83:O83"/>
    <mergeCell ref="P83:T83"/>
    <mergeCell ref="A84:A86"/>
    <mergeCell ref="B84:B86"/>
    <mergeCell ref="C84:C86"/>
    <mergeCell ref="D84:D86"/>
    <mergeCell ref="E84:E85"/>
    <mergeCell ref="F84:G84"/>
    <mergeCell ref="H84:I84"/>
    <mergeCell ref="J84:K84"/>
    <mergeCell ref="L84:M84"/>
    <mergeCell ref="N84:O84"/>
    <mergeCell ref="P84:T85"/>
    <mergeCell ref="F85:G85"/>
    <mergeCell ref="H85:I85"/>
    <mergeCell ref="J85:K85"/>
    <mergeCell ref="L85:M85"/>
    <mergeCell ref="N85:O85"/>
    <mergeCell ref="A93:T93"/>
    <mergeCell ref="A94:E94"/>
    <mergeCell ref="F94:O94"/>
    <mergeCell ref="P94:T94"/>
    <mergeCell ref="A95:A97"/>
    <mergeCell ref="B95:B97"/>
    <mergeCell ref="C95:C97"/>
    <mergeCell ref="D95:D97"/>
    <mergeCell ref="E95:E96"/>
    <mergeCell ref="F95:G95"/>
    <mergeCell ref="H95:I95"/>
    <mergeCell ref="J95:K95"/>
    <mergeCell ref="L95:M95"/>
    <mergeCell ref="N95:O95"/>
    <mergeCell ref="P95:T96"/>
    <mergeCell ref="F96:G96"/>
    <mergeCell ref="H96:I96"/>
    <mergeCell ref="J96:K96"/>
    <mergeCell ref="L96:M96"/>
    <mergeCell ref="N96:O96"/>
    <mergeCell ref="A51:T51"/>
    <mergeCell ref="A52:E52"/>
    <mergeCell ref="F52:O52"/>
    <mergeCell ref="P52:T52"/>
    <mergeCell ref="A53:A55"/>
    <mergeCell ref="B53:B55"/>
    <mergeCell ref="C53:C55"/>
    <mergeCell ref="D53:D55"/>
    <mergeCell ref="E53:E54"/>
    <mergeCell ref="F53:G53"/>
    <mergeCell ref="H53:I53"/>
    <mergeCell ref="J53:K53"/>
    <mergeCell ref="L53:M53"/>
    <mergeCell ref="N53:O53"/>
    <mergeCell ref="P53:T54"/>
    <mergeCell ref="F54:G54"/>
    <mergeCell ref="H54:I54"/>
    <mergeCell ref="J54:K54"/>
    <mergeCell ref="L54:M54"/>
    <mergeCell ref="N54:O54"/>
  </mergeCells>
  <phoneticPr fontId="7" type="noConversion"/>
  <pageMargins left="0.511811024" right="0.511811024" top="0.78740157499999996" bottom="0.78740157499999996" header="0.31496062000000002" footer="0.31496062000000002"/>
  <pageSetup paperSize="9" scale="50" orientation="landscape" horizontalDpi="4294967292" r:id="rId1"/>
  <tableParts count="9">
    <tablePart r:id="rId2"/>
    <tablePart r:id="rId3"/>
    <tablePart r:id="rId4"/>
    <tablePart r:id="rId5"/>
    <tablePart r:id="rId6"/>
    <tablePart r:id="rId7"/>
    <tablePart r:id="rId8"/>
    <tablePart r:id="rId9"/>
    <tablePart r:id="rId10"/>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'RELAÇÃO DE FORNECEDORES'!$A$3:$A$360</xm:f>
          </x14:formula1>
          <xm:sqref>F7:O7 F22:O22 F32:O32 F43:O43 F64:O64 F74:O74 F85:O85 F96:O96 F54:O54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3"/>
  <sheetViews>
    <sheetView showGridLines="0" tabSelected="1" showWhiteSpace="0" view="pageLayout" topLeftCell="D64" zoomScale="70" zoomScaleNormal="70" zoomScalePageLayoutView="70" workbookViewId="0">
      <selection activeCell="C14" sqref="C14"/>
    </sheetView>
  </sheetViews>
  <sheetFormatPr defaultColWidth="9.140625" defaultRowHeight="12.75" x14ac:dyDescent="0.25"/>
  <cols>
    <col min="1" max="1" width="11.85546875" style="1" customWidth="1"/>
    <col min="2" max="2" width="9.7109375" style="1" customWidth="1"/>
    <col min="3" max="3" width="33.5703125" style="2" customWidth="1"/>
    <col min="4" max="4" width="9.7109375" style="1" customWidth="1"/>
    <col min="5" max="5" width="10.7109375" style="3" customWidth="1"/>
    <col min="6" max="13" width="15.28515625" style="3" customWidth="1"/>
    <col min="14" max="15" width="15.28515625" style="3" hidden="1" customWidth="1"/>
    <col min="16" max="16" width="15.28515625" style="3" customWidth="1"/>
    <col min="17" max="17" width="33.28515625" style="3" customWidth="1"/>
    <col min="18" max="18" width="19.85546875" style="3" customWidth="1"/>
    <col min="19" max="19" width="22.5703125" style="3" customWidth="1"/>
    <col min="20" max="20" width="12" style="3" customWidth="1"/>
    <col min="21" max="16384" width="9.140625" style="3"/>
  </cols>
  <sheetData>
    <row r="1" spans="1:20" x14ac:dyDescent="0.25">
      <c r="A1" s="17" t="s">
        <v>52</v>
      </c>
      <c r="B1" s="16" t="s">
        <v>54</v>
      </c>
    </row>
    <row r="2" spans="1:20" x14ac:dyDescent="0.25">
      <c r="A2" s="17" t="s">
        <v>53</v>
      </c>
      <c r="B2" s="16" t="s">
        <v>86</v>
      </c>
    </row>
    <row r="3" spans="1:20" x14ac:dyDescent="0.25">
      <c r="A3" s="17"/>
      <c r="B3" s="16"/>
    </row>
    <row r="4" spans="1:20" x14ac:dyDescent="0.25">
      <c r="A4" s="96" t="s">
        <v>55</v>
      </c>
      <c r="B4" s="96"/>
      <c r="C4" s="96"/>
      <c r="D4" s="96"/>
      <c r="E4" s="96"/>
      <c r="F4" s="96"/>
      <c r="G4" s="96"/>
      <c r="H4" s="96"/>
      <c r="I4" s="96"/>
      <c r="J4" s="96"/>
      <c r="K4" s="96"/>
      <c r="L4" s="96"/>
      <c r="M4" s="96"/>
      <c r="N4" s="96"/>
      <c r="O4" s="96"/>
      <c r="P4" s="96"/>
      <c r="Q4" s="96"/>
      <c r="R4" s="96"/>
      <c r="S4" s="96"/>
      <c r="T4" s="96"/>
    </row>
    <row r="5" spans="1:20" x14ac:dyDescent="0.25">
      <c r="A5" s="93" t="s">
        <v>27</v>
      </c>
      <c r="B5" s="93"/>
      <c r="C5" s="93"/>
      <c r="D5" s="93"/>
      <c r="E5" s="94"/>
      <c r="F5" s="95" t="s">
        <v>23</v>
      </c>
      <c r="G5" s="93"/>
      <c r="H5" s="93"/>
      <c r="I5" s="93"/>
      <c r="J5" s="93"/>
      <c r="K5" s="93"/>
      <c r="L5" s="93"/>
      <c r="M5" s="93"/>
      <c r="N5" s="93"/>
      <c r="O5" s="94"/>
      <c r="P5" s="78" t="s">
        <v>25</v>
      </c>
      <c r="Q5" s="78"/>
      <c r="R5" s="78"/>
      <c r="S5" s="78"/>
      <c r="T5" s="78"/>
    </row>
    <row r="6" spans="1:20" ht="60" customHeight="1" x14ac:dyDescent="0.25">
      <c r="A6" s="79" t="s">
        <v>1</v>
      </c>
      <c r="B6" s="79" t="s">
        <v>13</v>
      </c>
      <c r="C6" s="81" t="s">
        <v>0</v>
      </c>
      <c r="D6" s="79" t="s">
        <v>2</v>
      </c>
      <c r="E6" s="83" t="s">
        <v>17</v>
      </c>
      <c r="F6" s="85" t="s">
        <v>6</v>
      </c>
      <c r="G6" s="86"/>
      <c r="H6" s="86" t="s">
        <v>18</v>
      </c>
      <c r="I6" s="86"/>
      <c r="J6" s="86" t="s">
        <v>19</v>
      </c>
      <c r="K6" s="86"/>
      <c r="L6" s="86" t="s">
        <v>20</v>
      </c>
      <c r="M6" s="87"/>
      <c r="N6" s="86" t="s">
        <v>21</v>
      </c>
      <c r="O6" s="87"/>
      <c r="P6" s="88" t="s">
        <v>26</v>
      </c>
      <c r="Q6" s="79"/>
      <c r="R6" s="79"/>
      <c r="S6" s="79"/>
      <c r="T6" s="79"/>
    </row>
    <row r="7" spans="1:20" ht="42.75" customHeight="1" x14ac:dyDescent="0.25">
      <c r="A7" s="80"/>
      <c r="B7" s="80"/>
      <c r="C7" s="82"/>
      <c r="D7" s="80"/>
      <c r="E7" s="84"/>
      <c r="F7" s="90" t="s">
        <v>202</v>
      </c>
      <c r="G7" s="91"/>
      <c r="H7" s="91" t="s">
        <v>206</v>
      </c>
      <c r="I7" s="91"/>
      <c r="J7" s="91" t="s">
        <v>210</v>
      </c>
      <c r="K7" s="91"/>
      <c r="L7" s="91"/>
      <c r="M7" s="92"/>
      <c r="N7" s="91"/>
      <c r="O7" s="92"/>
      <c r="P7" s="89"/>
      <c r="Q7" s="78"/>
      <c r="R7" s="78"/>
      <c r="S7" s="78"/>
      <c r="T7" s="78"/>
    </row>
    <row r="8" spans="1:20" s="4" customFormat="1" ht="25.5" x14ac:dyDescent="0.25">
      <c r="A8" s="80"/>
      <c r="B8" s="80"/>
      <c r="C8" s="82"/>
      <c r="D8" s="80"/>
      <c r="E8" s="18" t="s">
        <v>3</v>
      </c>
      <c r="F8" s="19" t="s">
        <v>15</v>
      </c>
      <c r="G8" s="20" t="s">
        <v>16</v>
      </c>
      <c r="H8" s="20" t="s">
        <v>15</v>
      </c>
      <c r="I8" s="20" t="s">
        <v>16</v>
      </c>
      <c r="J8" s="20" t="s">
        <v>15</v>
      </c>
      <c r="K8" s="62" t="s">
        <v>16</v>
      </c>
      <c r="L8" s="62" t="s">
        <v>15</v>
      </c>
      <c r="M8" s="21" t="s">
        <v>16</v>
      </c>
      <c r="N8" s="20" t="s">
        <v>15</v>
      </c>
      <c r="O8" s="21" t="s">
        <v>16</v>
      </c>
      <c r="P8" s="22" t="s">
        <v>24</v>
      </c>
      <c r="Q8" s="22" t="s">
        <v>5</v>
      </c>
      <c r="R8" s="22" t="s">
        <v>8</v>
      </c>
      <c r="S8" s="22" t="s">
        <v>9</v>
      </c>
      <c r="T8" s="20" t="s">
        <v>14</v>
      </c>
    </row>
    <row r="9" spans="1:20" hidden="1" x14ac:dyDescent="0.25">
      <c r="A9" s="11" t="s">
        <v>59</v>
      </c>
      <c r="B9" s="11" t="s">
        <v>60</v>
      </c>
      <c r="C9" s="14" t="s">
        <v>61</v>
      </c>
      <c r="D9" s="11" t="s">
        <v>62</v>
      </c>
      <c r="E9" s="8" t="s">
        <v>63</v>
      </c>
      <c r="F9" s="9" t="s">
        <v>64</v>
      </c>
      <c r="G9" s="6" t="s">
        <v>65</v>
      </c>
      <c r="H9" s="6" t="s">
        <v>66</v>
      </c>
      <c r="I9" s="6" t="s">
        <v>67</v>
      </c>
      <c r="J9" s="6" t="s">
        <v>68</v>
      </c>
      <c r="K9" s="6" t="s">
        <v>69</v>
      </c>
      <c r="L9" s="6" t="s">
        <v>70</v>
      </c>
      <c r="M9" s="7" t="s">
        <v>71</v>
      </c>
      <c r="N9" s="6" t="s">
        <v>72</v>
      </c>
      <c r="O9" s="7" t="s">
        <v>73</v>
      </c>
      <c r="P9" s="13" t="s">
        <v>74</v>
      </c>
      <c r="Q9" s="5" t="s">
        <v>75</v>
      </c>
      <c r="R9" s="1" t="s">
        <v>76</v>
      </c>
      <c r="S9" s="1" t="s">
        <v>77</v>
      </c>
      <c r="T9" s="12" t="s">
        <v>78</v>
      </c>
    </row>
    <row r="10" spans="1:20" ht="25.5" x14ac:dyDescent="0.25">
      <c r="A10" s="11">
        <v>1</v>
      </c>
      <c r="B10" s="11" t="s">
        <v>267</v>
      </c>
      <c r="C10" s="14" t="s">
        <v>293</v>
      </c>
      <c r="D10" s="11" t="s">
        <v>4</v>
      </c>
      <c r="E10" s="8">
        <v>1</v>
      </c>
      <c r="F10" s="9">
        <v>4755.8999999999996</v>
      </c>
      <c r="G10" s="6">
        <f>F10*$E10</f>
        <v>4755.8999999999996</v>
      </c>
      <c r="H10" s="6">
        <v>7340</v>
      </c>
      <c r="I10" s="6">
        <f t="shared" ref="I10" si="0">H10*$E10</f>
        <v>7340</v>
      </c>
      <c r="J10" s="6">
        <v>4574.2</v>
      </c>
      <c r="K10" s="6">
        <f t="shared" ref="K10" si="1">J10*$E10</f>
        <v>4574.2</v>
      </c>
      <c r="L10" s="6"/>
      <c r="M10" s="7">
        <f>L10*$E10</f>
        <v>0</v>
      </c>
      <c r="N10" s="6"/>
      <c r="O10" s="7">
        <f>N10*$E10</f>
        <v>0</v>
      </c>
      <c r="P10" s="13">
        <f>MEDIAN(J10,H10,F10,L10,N10)</f>
        <v>4755.8999999999996</v>
      </c>
      <c r="Q10" s="5" t="str">
        <f>_xlfn.XLOOKUP(P10,F10:O10,$F$7:$O$7)</f>
        <v>ANGOLINI &amp; ANGOLINI LTDA</v>
      </c>
      <c r="R10" s="1" t="str">
        <f>_xlfn.XLOOKUP(Q10,'RELAÇÃO DE FORNECEDORES'!$A$3:$A$287,'RELAÇÃO DE FORNECEDORES'!$B$3:$B$287)</f>
        <v>44.829.653/0001-53</v>
      </c>
      <c r="S10" s="1" t="str">
        <f>_xlfn.XLOOKUP(Q10,'RELAÇÃO DE FORNECEDORES'!$A$3:$A$287,'RELAÇÃO DE FORNECEDORES'!$E$3:$E$287)</f>
        <v>ANTÔNIO CANDIDO</v>
      </c>
      <c r="T10" s="12">
        <f>_xlfn.XLOOKUP(Q10,'RELAÇÃO DE FORNECEDORES'!$A$3:$A$287,'RELAÇÃO DE FORNECEDORES'!$C$3:$C$287)</f>
        <v>44547</v>
      </c>
    </row>
    <row r="11" spans="1:20" x14ac:dyDescent="0.25">
      <c r="A11" s="11">
        <v>2</v>
      </c>
      <c r="B11" s="11" t="s">
        <v>307</v>
      </c>
      <c r="C11" s="14" t="s">
        <v>294</v>
      </c>
      <c r="D11" s="11" t="s">
        <v>4</v>
      </c>
      <c r="E11" s="8">
        <v>2</v>
      </c>
      <c r="F11" s="9">
        <v>16376.55</v>
      </c>
      <c r="G11" s="6">
        <f t="shared" ref="G11:G36" si="2">F11*$E11</f>
        <v>32753.1</v>
      </c>
      <c r="H11" s="6">
        <v>21000</v>
      </c>
      <c r="I11" s="6">
        <f t="shared" ref="I11:I36" si="3">H11*$E11</f>
        <v>42000</v>
      </c>
      <c r="J11" s="6">
        <v>15765</v>
      </c>
      <c r="K11" s="6">
        <f t="shared" ref="K11:K36" si="4">J11*$E11</f>
        <v>31530</v>
      </c>
      <c r="L11" s="6"/>
      <c r="M11" s="7">
        <f t="shared" ref="M11:M36" si="5">L11*$E11</f>
        <v>0</v>
      </c>
      <c r="N11" s="6"/>
      <c r="O11" s="7">
        <f t="shared" ref="O11:O36" si="6">N11*$E11</f>
        <v>0</v>
      </c>
      <c r="P11" s="13">
        <f t="shared" ref="P11:P36" si="7">MEDIAN(J11,H11,F11,L11,N11)</f>
        <v>16376.55</v>
      </c>
      <c r="Q11" s="5" t="str">
        <f t="shared" ref="Q11:Q36" si="8">_xlfn.XLOOKUP(P11,F11:O11,$F$7:$O$7)</f>
        <v>ANGOLINI &amp; ANGOLINI LTDA</v>
      </c>
      <c r="R11" s="1" t="str">
        <f>_xlfn.XLOOKUP(Q11,'RELAÇÃO DE FORNECEDORES'!$A$3:$A$287,'RELAÇÃO DE FORNECEDORES'!$B$3:$B$287)</f>
        <v>44.829.653/0001-53</v>
      </c>
      <c r="S11" s="1" t="str">
        <f>_xlfn.XLOOKUP(Q11,'RELAÇÃO DE FORNECEDORES'!$A$3:$A$287,'RELAÇÃO DE FORNECEDORES'!$E$3:$E$287)</f>
        <v>ANTÔNIO CANDIDO</v>
      </c>
      <c r="T11" s="12">
        <f>_xlfn.XLOOKUP(Q11,'RELAÇÃO DE FORNECEDORES'!$A$3:$A$287,'RELAÇÃO DE FORNECEDORES'!$C$3:$C$287)</f>
        <v>44547</v>
      </c>
    </row>
    <row r="12" spans="1:20" ht="25.5" x14ac:dyDescent="0.25">
      <c r="A12" s="11">
        <v>3</v>
      </c>
      <c r="B12" s="11" t="s">
        <v>308</v>
      </c>
      <c r="C12" s="14" t="s">
        <v>295</v>
      </c>
      <c r="D12" s="11" t="s">
        <v>4</v>
      </c>
      <c r="E12" s="8">
        <v>1</v>
      </c>
      <c r="F12" s="9">
        <v>3618.49</v>
      </c>
      <c r="G12" s="6">
        <f t="shared" si="2"/>
        <v>3618.49</v>
      </c>
      <c r="H12" s="6">
        <v>4332</v>
      </c>
      <c r="I12" s="6">
        <f t="shared" si="3"/>
        <v>4332</v>
      </c>
      <c r="J12" s="6">
        <v>3879.08</v>
      </c>
      <c r="K12" s="6">
        <f t="shared" si="4"/>
        <v>3879.08</v>
      </c>
      <c r="L12" s="6"/>
      <c r="M12" s="7">
        <f t="shared" si="5"/>
        <v>0</v>
      </c>
      <c r="N12" s="6"/>
      <c r="O12" s="7">
        <f t="shared" si="6"/>
        <v>0</v>
      </c>
      <c r="P12" s="13">
        <f t="shared" si="7"/>
        <v>3879.08</v>
      </c>
      <c r="Q12" s="5" t="str">
        <f t="shared" si="8"/>
        <v>DTS SANEAMENTO VÁLVULAS E CONEXÕES LTDA</v>
      </c>
      <c r="R12" s="1" t="str">
        <f>_xlfn.XLOOKUP(Q12,'RELAÇÃO DE FORNECEDORES'!$A$3:$A$287,'RELAÇÃO DE FORNECEDORES'!$B$3:$B$287)</f>
        <v>30.194.330/0001-26</v>
      </c>
      <c r="S12" s="1" t="str">
        <f>_xlfn.XLOOKUP(Q12,'RELAÇÃO DE FORNECEDORES'!$A$3:$A$287,'RELAÇÃO DE FORNECEDORES'!$E$3:$E$287)</f>
        <v>GILVAN MARTINS</v>
      </c>
      <c r="T12" s="12">
        <f>_xlfn.XLOOKUP(Q12,'RELAÇÃO DE FORNECEDORES'!$A$3:$A$287,'RELAÇÃO DE FORNECEDORES'!$C$3:$C$287)</f>
        <v>44546</v>
      </c>
    </row>
    <row r="13" spans="1:20" ht="25.5" x14ac:dyDescent="0.25">
      <c r="A13" s="11">
        <v>4</v>
      </c>
      <c r="B13" s="11" t="s">
        <v>309</v>
      </c>
      <c r="C13" s="14" t="s">
        <v>296</v>
      </c>
      <c r="D13" s="11" t="s">
        <v>4</v>
      </c>
      <c r="E13" s="8">
        <v>1</v>
      </c>
      <c r="F13" s="9">
        <v>5552.82</v>
      </c>
      <c r="G13" s="6">
        <f t="shared" si="2"/>
        <v>5552.82</v>
      </c>
      <c r="H13" s="6">
        <v>7720</v>
      </c>
      <c r="I13" s="6">
        <f t="shared" si="3"/>
        <v>7720</v>
      </c>
      <c r="J13" s="6">
        <v>5606</v>
      </c>
      <c r="K13" s="6">
        <f t="shared" si="4"/>
        <v>5606</v>
      </c>
      <c r="L13" s="6"/>
      <c r="M13" s="7">
        <f t="shared" si="5"/>
        <v>0</v>
      </c>
      <c r="N13" s="6"/>
      <c r="O13" s="7">
        <f t="shared" si="6"/>
        <v>0</v>
      </c>
      <c r="P13" s="13">
        <f t="shared" si="7"/>
        <v>5606</v>
      </c>
      <c r="Q13" s="5" t="str">
        <f t="shared" si="8"/>
        <v>DTS SANEAMENTO VÁLVULAS E CONEXÕES LTDA</v>
      </c>
      <c r="R13" s="1" t="str">
        <f>_xlfn.XLOOKUP(Q13,'RELAÇÃO DE FORNECEDORES'!$A$3:$A$287,'RELAÇÃO DE FORNECEDORES'!$B$3:$B$287)</f>
        <v>30.194.330/0001-26</v>
      </c>
      <c r="S13" s="1" t="str">
        <f>_xlfn.XLOOKUP(Q13,'RELAÇÃO DE FORNECEDORES'!$A$3:$A$287,'RELAÇÃO DE FORNECEDORES'!$E$3:$E$287)</f>
        <v>GILVAN MARTINS</v>
      </c>
      <c r="T13" s="12">
        <f>_xlfn.XLOOKUP(Q13,'RELAÇÃO DE FORNECEDORES'!$A$3:$A$287,'RELAÇÃO DE FORNECEDORES'!$C$3:$C$287)</f>
        <v>44546</v>
      </c>
    </row>
    <row r="14" spans="1:20" ht="38.25" x14ac:dyDescent="0.25">
      <c r="A14" s="11">
        <v>5</v>
      </c>
      <c r="B14" s="11" t="s">
        <v>310</v>
      </c>
      <c r="C14" s="14" t="s">
        <v>297</v>
      </c>
      <c r="D14" s="11" t="s">
        <v>4</v>
      </c>
      <c r="E14" s="8">
        <v>1</v>
      </c>
      <c r="F14" s="9">
        <v>45765</v>
      </c>
      <c r="G14" s="6">
        <f t="shared" si="2"/>
        <v>45765</v>
      </c>
      <c r="H14" s="6">
        <v>50000</v>
      </c>
      <c r="I14" s="6">
        <f t="shared" si="3"/>
        <v>50000</v>
      </c>
      <c r="J14" s="6">
        <v>0</v>
      </c>
      <c r="K14" s="6">
        <f t="shared" si="4"/>
        <v>0</v>
      </c>
      <c r="L14" s="6"/>
      <c r="M14" s="7">
        <f t="shared" si="5"/>
        <v>0</v>
      </c>
      <c r="N14" s="6"/>
      <c r="O14" s="7">
        <f t="shared" si="6"/>
        <v>0</v>
      </c>
      <c r="P14" s="13">
        <f t="shared" si="7"/>
        <v>45765</v>
      </c>
      <c r="Q14" s="5" t="str">
        <f t="shared" si="8"/>
        <v>ANGOLINI &amp; ANGOLINI LTDA</v>
      </c>
      <c r="R14" s="1" t="str">
        <f>_xlfn.XLOOKUP(Q14,'RELAÇÃO DE FORNECEDORES'!$A$3:$A$287,'RELAÇÃO DE FORNECEDORES'!$B$3:$B$287)</f>
        <v>44.829.653/0001-53</v>
      </c>
      <c r="S14" s="1" t="str">
        <f>_xlfn.XLOOKUP(Q14,'RELAÇÃO DE FORNECEDORES'!$A$3:$A$287,'RELAÇÃO DE FORNECEDORES'!$E$3:$E$287)</f>
        <v>ANTÔNIO CANDIDO</v>
      </c>
      <c r="T14" s="12">
        <f>_xlfn.XLOOKUP(Q14,'RELAÇÃO DE FORNECEDORES'!$A$3:$A$287,'RELAÇÃO DE FORNECEDORES'!$C$3:$C$287)</f>
        <v>44547</v>
      </c>
    </row>
    <row r="15" spans="1:20" ht="25.5" x14ac:dyDescent="0.25">
      <c r="A15" s="11">
        <v>6</v>
      </c>
      <c r="B15" s="11" t="s">
        <v>311</v>
      </c>
      <c r="C15" s="14" t="s">
        <v>298</v>
      </c>
      <c r="D15" s="11" t="s">
        <v>4</v>
      </c>
      <c r="E15" s="8">
        <v>1</v>
      </c>
      <c r="F15" s="9">
        <v>20344.07</v>
      </c>
      <c r="G15" s="6">
        <f t="shared" si="2"/>
        <v>20344.07</v>
      </c>
      <c r="H15" s="6">
        <v>23400</v>
      </c>
      <c r="I15" s="6">
        <f t="shared" si="3"/>
        <v>23400</v>
      </c>
      <c r="J15" s="6">
        <v>20655</v>
      </c>
      <c r="K15" s="6">
        <f t="shared" si="4"/>
        <v>20655</v>
      </c>
      <c r="L15" s="6"/>
      <c r="M15" s="7">
        <f t="shared" si="5"/>
        <v>0</v>
      </c>
      <c r="N15" s="6"/>
      <c r="O15" s="7">
        <f t="shared" si="6"/>
        <v>0</v>
      </c>
      <c r="P15" s="13">
        <f t="shared" si="7"/>
        <v>20655</v>
      </c>
      <c r="Q15" s="5" t="str">
        <f t="shared" si="8"/>
        <v>DTS SANEAMENTO VÁLVULAS E CONEXÕES LTDA</v>
      </c>
      <c r="R15" s="1" t="str">
        <f>_xlfn.XLOOKUP(Q15,'RELAÇÃO DE FORNECEDORES'!$A$3:$A$287,'RELAÇÃO DE FORNECEDORES'!$B$3:$B$287)</f>
        <v>30.194.330/0001-26</v>
      </c>
      <c r="S15" s="1" t="str">
        <f>_xlfn.XLOOKUP(Q15,'RELAÇÃO DE FORNECEDORES'!$A$3:$A$287,'RELAÇÃO DE FORNECEDORES'!$E$3:$E$287)</f>
        <v>GILVAN MARTINS</v>
      </c>
      <c r="T15" s="12">
        <f>_xlfn.XLOOKUP(Q15,'RELAÇÃO DE FORNECEDORES'!$A$3:$A$287,'RELAÇÃO DE FORNECEDORES'!$C$3:$C$287)</f>
        <v>44546</v>
      </c>
    </row>
    <row r="16" spans="1:20" x14ac:dyDescent="0.25">
      <c r="A16" s="11">
        <v>7</v>
      </c>
      <c r="B16" s="11" t="s">
        <v>312</v>
      </c>
      <c r="C16" s="14" t="s">
        <v>299</v>
      </c>
      <c r="D16" s="11" t="s">
        <v>4</v>
      </c>
      <c r="E16" s="8">
        <v>1</v>
      </c>
      <c r="F16" s="9">
        <v>8030.23</v>
      </c>
      <c r="G16" s="6">
        <f t="shared" si="2"/>
        <v>8030.23</v>
      </c>
      <c r="H16" s="6">
        <v>12000</v>
      </c>
      <c r="I16" s="6">
        <f t="shared" si="3"/>
        <v>12000</v>
      </c>
      <c r="J16" s="6">
        <v>7820</v>
      </c>
      <c r="K16" s="6">
        <f t="shared" si="4"/>
        <v>7820</v>
      </c>
      <c r="L16" s="6"/>
      <c r="M16" s="7">
        <f t="shared" si="5"/>
        <v>0</v>
      </c>
      <c r="N16" s="6"/>
      <c r="O16" s="7">
        <f t="shared" si="6"/>
        <v>0</v>
      </c>
      <c r="P16" s="13">
        <f t="shared" si="7"/>
        <v>8030.23</v>
      </c>
      <c r="Q16" s="5" t="str">
        <f t="shared" si="8"/>
        <v>ANGOLINI &amp; ANGOLINI LTDA</v>
      </c>
      <c r="R16" s="1" t="str">
        <f>_xlfn.XLOOKUP(Q16,'RELAÇÃO DE FORNECEDORES'!$A$3:$A$287,'RELAÇÃO DE FORNECEDORES'!$B$3:$B$287)</f>
        <v>44.829.653/0001-53</v>
      </c>
      <c r="S16" s="1" t="str">
        <f>_xlfn.XLOOKUP(Q16,'RELAÇÃO DE FORNECEDORES'!$A$3:$A$287,'RELAÇÃO DE FORNECEDORES'!$E$3:$E$287)</f>
        <v>ANTÔNIO CANDIDO</v>
      </c>
      <c r="T16" s="12">
        <f>_xlfn.XLOOKUP(Q16,'RELAÇÃO DE FORNECEDORES'!$A$3:$A$287,'RELAÇÃO DE FORNECEDORES'!$C$3:$C$287)</f>
        <v>44547</v>
      </c>
    </row>
    <row r="17" spans="1:20" ht="25.5" x14ac:dyDescent="0.25">
      <c r="A17" s="11">
        <v>8</v>
      </c>
      <c r="B17" s="11" t="s">
        <v>313</v>
      </c>
      <c r="C17" s="14" t="s">
        <v>243</v>
      </c>
      <c r="D17" s="11" t="s">
        <v>4</v>
      </c>
      <c r="E17" s="8">
        <v>1</v>
      </c>
      <c r="F17" s="9">
        <v>18263.29</v>
      </c>
      <c r="G17" s="6">
        <f t="shared" si="2"/>
        <v>18263.29</v>
      </c>
      <c r="H17" s="6">
        <v>22200</v>
      </c>
      <c r="I17" s="6">
        <f t="shared" si="3"/>
        <v>22200</v>
      </c>
      <c r="J17" s="6">
        <v>17177</v>
      </c>
      <c r="K17" s="6">
        <f t="shared" si="4"/>
        <v>17177</v>
      </c>
      <c r="L17" s="6"/>
      <c r="M17" s="7">
        <f t="shared" si="5"/>
        <v>0</v>
      </c>
      <c r="N17" s="6"/>
      <c r="O17" s="7">
        <f t="shared" si="6"/>
        <v>0</v>
      </c>
      <c r="P17" s="13">
        <f t="shared" si="7"/>
        <v>18263.29</v>
      </c>
      <c r="Q17" s="5" t="str">
        <f t="shared" si="8"/>
        <v>ANGOLINI &amp; ANGOLINI LTDA</v>
      </c>
      <c r="R17" s="1" t="str">
        <f>_xlfn.XLOOKUP(Q17,'RELAÇÃO DE FORNECEDORES'!$A$3:$A$287,'RELAÇÃO DE FORNECEDORES'!$B$3:$B$287)</f>
        <v>44.829.653/0001-53</v>
      </c>
      <c r="S17" s="1" t="str">
        <f>_xlfn.XLOOKUP(Q17,'RELAÇÃO DE FORNECEDORES'!$A$3:$A$287,'RELAÇÃO DE FORNECEDORES'!$E$3:$E$287)</f>
        <v>ANTÔNIO CANDIDO</v>
      </c>
      <c r="T17" s="12">
        <f>_xlfn.XLOOKUP(Q17,'RELAÇÃO DE FORNECEDORES'!$A$3:$A$287,'RELAÇÃO DE FORNECEDORES'!$C$3:$C$287)</f>
        <v>44547</v>
      </c>
    </row>
    <row r="18" spans="1:20" x14ac:dyDescent="0.25">
      <c r="A18" s="11">
        <v>9</v>
      </c>
      <c r="B18" s="11" t="s">
        <v>314</v>
      </c>
      <c r="C18" s="14" t="s">
        <v>300</v>
      </c>
      <c r="D18" s="11" t="s">
        <v>4</v>
      </c>
      <c r="E18" s="8">
        <v>1</v>
      </c>
      <c r="F18" s="9">
        <v>2411.5100000000002</v>
      </c>
      <c r="G18" s="6">
        <f t="shared" ref="G18:G34" si="9">F18*$E18</f>
        <v>2411.5100000000002</v>
      </c>
      <c r="H18" s="6">
        <v>2830</v>
      </c>
      <c r="I18" s="6">
        <f t="shared" ref="I18:I34" si="10">H18*$E18</f>
        <v>2830</v>
      </c>
      <c r="J18" s="6">
        <v>2176</v>
      </c>
      <c r="K18" s="6">
        <f t="shared" ref="K18:K34" si="11">J18*$E18</f>
        <v>2176</v>
      </c>
      <c r="L18" s="6"/>
      <c r="M18" s="7">
        <f t="shared" ref="M18:M34" si="12">L18*$E18</f>
        <v>0</v>
      </c>
      <c r="N18" s="6"/>
      <c r="O18" s="7">
        <f t="shared" ref="O18:O34" si="13">N18*$E18</f>
        <v>0</v>
      </c>
      <c r="P18" s="13">
        <f t="shared" ref="P18:P34" si="14">MEDIAN(J18,H18,F18,L18,N18)</f>
        <v>2411.5100000000002</v>
      </c>
      <c r="Q18" s="5" t="str">
        <f t="shared" ref="Q18:Q34" si="15">_xlfn.XLOOKUP(P18,F18:O18,$F$7:$O$7)</f>
        <v>ANGOLINI &amp; ANGOLINI LTDA</v>
      </c>
      <c r="R18" s="1" t="str">
        <f>_xlfn.XLOOKUP(Q18,'RELAÇÃO DE FORNECEDORES'!$A$3:$A$287,'RELAÇÃO DE FORNECEDORES'!$B$3:$B$287)</f>
        <v>44.829.653/0001-53</v>
      </c>
      <c r="S18" s="1" t="str">
        <f>_xlfn.XLOOKUP(Q18,'RELAÇÃO DE FORNECEDORES'!$A$3:$A$287,'RELAÇÃO DE FORNECEDORES'!$E$3:$E$287)</f>
        <v>ANTÔNIO CANDIDO</v>
      </c>
      <c r="T18" s="12">
        <f>_xlfn.XLOOKUP(Q18,'RELAÇÃO DE FORNECEDORES'!$A$3:$A$287,'RELAÇÃO DE FORNECEDORES'!$C$3:$C$287)</f>
        <v>44547</v>
      </c>
    </row>
    <row r="19" spans="1:20" ht="25.5" x14ac:dyDescent="0.25">
      <c r="A19" s="11">
        <v>10</v>
      </c>
      <c r="B19" s="11" t="s">
        <v>315</v>
      </c>
      <c r="C19" s="14" t="s">
        <v>181</v>
      </c>
      <c r="D19" s="11" t="s">
        <v>4</v>
      </c>
      <c r="E19" s="8">
        <v>1</v>
      </c>
      <c r="F19" s="9">
        <v>3688.05</v>
      </c>
      <c r="G19" s="6">
        <f t="shared" si="9"/>
        <v>3688.05</v>
      </c>
      <c r="H19" s="6">
        <v>5600</v>
      </c>
      <c r="I19" s="6">
        <f t="shared" si="10"/>
        <v>5600</v>
      </c>
      <c r="J19" s="6">
        <v>3835</v>
      </c>
      <c r="K19" s="6">
        <f t="shared" si="11"/>
        <v>3835</v>
      </c>
      <c r="L19" s="6"/>
      <c r="M19" s="7">
        <f t="shared" si="12"/>
        <v>0</v>
      </c>
      <c r="N19" s="6"/>
      <c r="O19" s="7">
        <f t="shared" si="13"/>
        <v>0</v>
      </c>
      <c r="P19" s="13">
        <f t="shared" si="14"/>
        <v>3835</v>
      </c>
      <c r="Q19" s="5" t="str">
        <f t="shared" si="15"/>
        <v>DTS SANEAMENTO VÁLVULAS E CONEXÕES LTDA</v>
      </c>
      <c r="R19" s="1" t="str">
        <f>_xlfn.XLOOKUP(Q19,'RELAÇÃO DE FORNECEDORES'!$A$3:$A$287,'RELAÇÃO DE FORNECEDORES'!$B$3:$B$287)</f>
        <v>30.194.330/0001-26</v>
      </c>
      <c r="S19" s="1" t="str">
        <f>_xlfn.XLOOKUP(Q19,'RELAÇÃO DE FORNECEDORES'!$A$3:$A$287,'RELAÇÃO DE FORNECEDORES'!$E$3:$E$287)</f>
        <v>GILVAN MARTINS</v>
      </c>
      <c r="T19" s="12">
        <f>_xlfn.XLOOKUP(Q19,'RELAÇÃO DE FORNECEDORES'!$A$3:$A$287,'RELAÇÃO DE FORNECEDORES'!$C$3:$C$287)</f>
        <v>44546</v>
      </c>
    </row>
    <row r="20" spans="1:20" x14ac:dyDescent="0.25">
      <c r="A20" s="11">
        <v>11</v>
      </c>
      <c r="B20" s="11" t="s">
        <v>268</v>
      </c>
      <c r="C20" s="14" t="s">
        <v>249</v>
      </c>
      <c r="D20" s="11" t="s">
        <v>4</v>
      </c>
      <c r="E20" s="8">
        <v>2</v>
      </c>
      <c r="F20" s="9">
        <v>8818.61</v>
      </c>
      <c r="G20" s="6">
        <f t="shared" si="9"/>
        <v>17637.22</v>
      </c>
      <c r="H20" s="6">
        <v>12000</v>
      </c>
      <c r="I20" s="6">
        <f t="shared" si="10"/>
        <v>24000</v>
      </c>
      <c r="J20" s="6">
        <v>7952</v>
      </c>
      <c r="K20" s="6">
        <f t="shared" si="11"/>
        <v>15904</v>
      </c>
      <c r="L20" s="6"/>
      <c r="M20" s="7">
        <f t="shared" si="12"/>
        <v>0</v>
      </c>
      <c r="N20" s="6"/>
      <c r="O20" s="7">
        <f t="shared" si="13"/>
        <v>0</v>
      </c>
      <c r="P20" s="13">
        <f t="shared" si="14"/>
        <v>8818.61</v>
      </c>
      <c r="Q20" s="5" t="str">
        <f t="shared" si="15"/>
        <v>ANGOLINI &amp; ANGOLINI LTDA</v>
      </c>
      <c r="R20" s="1" t="str">
        <f>_xlfn.XLOOKUP(Q20,'RELAÇÃO DE FORNECEDORES'!$A$3:$A$287,'RELAÇÃO DE FORNECEDORES'!$B$3:$B$287)</f>
        <v>44.829.653/0001-53</v>
      </c>
      <c r="S20" s="1" t="str">
        <f>_xlfn.XLOOKUP(Q20,'RELAÇÃO DE FORNECEDORES'!$A$3:$A$287,'RELAÇÃO DE FORNECEDORES'!$E$3:$E$287)</f>
        <v>ANTÔNIO CANDIDO</v>
      </c>
      <c r="T20" s="12">
        <f>_xlfn.XLOOKUP(Q20,'RELAÇÃO DE FORNECEDORES'!$A$3:$A$287,'RELAÇÃO DE FORNECEDORES'!$C$3:$C$287)</f>
        <v>44547</v>
      </c>
    </row>
    <row r="21" spans="1:20" ht="25.5" x14ac:dyDescent="0.25">
      <c r="A21" s="11">
        <v>12</v>
      </c>
      <c r="B21" s="11" t="s">
        <v>316</v>
      </c>
      <c r="C21" s="14" t="s">
        <v>301</v>
      </c>
      <c r="D21" s="11" t="s">
        <v>4</v>
      </c>
      <c r="E21" s="8">
        <v>3</v>
      </c>
      <c r="F21" s="9">
        <v>2254.08</v>
      </c>
      <c r="G21" s="6">
        <f t="shared" si="9"/>
        <v>6762.24</v>
      </c>
      <c r="H21" s="6">
        <v>2830</v>
      </c>
      <c r="I21" s="6">
        <f t="shared" si="10"/>
        <v>8490</v>
      </c>
      <c r="J21" s="6">
        <v>2345</v>
      </c>
      <c r="K21" s="6">
        <f t="shared" si="11"/>
        <v>7035</v>
      </c>
      <c r="L21" s="6"/>
      <c r="M21" s="7">
        <f t="shared" si="12"/>
        <v>0</v>
      </c>
      <c r="N21" s="6"/>
      <c r="O21" s="7">
        <f t="shared" si="13"/>
        <v>0</v>
      </c>
      <c r="P21" s="13">
        <f t="shared" si="14"/>
        <v>2345</v>
      </c>
      <c r="Q21" s="5" t="str">
        <f t="shared" si="15"/>
        <v>DTS SANEAMENTO VÁLVULAS E CONEXÕES LTDA</v>
      </c>
      <c r="R21" s="1" t="str">
        <f>_xlfn.XLOOKUP(Q21,'RELAÇÃO DE FORNECEDORES'!$A$3:$A$287,'RELAÇÃO DE FORNECEDORES'!$B$3:$B$287)</f>
        <v>30.194.330/0001-26</v>
      </c>
      <c r="S21" s="1" t="str">
        <f>_xlfn.XLOOKUP(Q21,'RELAÇÃO DE FORNECEDORES'!$A$3:$A$287,'RELAÇÃO DE FORNECEDORES'!$E$3:$E$287)</f>
        <v>GILVAN MARTINS</v>
      </c>
      <c r="T21" s="12">
        <f>_xlfn.XLOOKUP(Q21,'RELAÇÃO DE FORNECEDORES'!$A$3:$A$287,'RELAÇÃO DE FORNECEDORES'!$C$3:$C$287)</f>
        <v>44546</v>
      </c>
    </row>
    <row r="22" spans="1:20" ht="25.5" x14ac:dyDescent="0.25">
      <c r="A22" s="11">
        <v>13</v>
      </c>
      <c r="B22" s="11" t="s">
        <v>317</v>
      </c>
      <c r="C22" s="14" t="s">
        <v>302</v>
      </c>
      <c r="D22" s="11" t="s">
        <v>4</v>
      </c>
      <c r="E22" s="8">
        <v>1</v>
      </c>
      <c r="F22" s="9">
        <v>2697.08</v>
      </c>
      <c r="G22" s="6">
        <f t="shared" ref="G22:G29" si="16">F22*$E22</f>
        <v>2697.08</v>
      </c>
      <c r="H22" s="6">
        <v>3600</v>
      </c>
      <c r="I22" s="6">
        <f t="shared" ref="I22:I29" si="17">H22*$E22</f>
        <v>3600</v>
      </c>
      <c r="J22" s="6">
        <v>2806.9</v>
      </c>
      <c r="K22" s="6">
        <f t="shared" ref="K22:K29" si="18">J22*$E22</f>
        <v>2806.9</v>
      </c>
      <c r="L22" s="6"/>
      <c r="M22" s="7">
        <f t="shared" ref="M22:M29" si="19">L22*$E22</f>
        <v>0</v>
      </c>
      <c r="N22" s="6"/>
      <c r="O22" s="7">
        <f t="shared" ref="O22:O29" si="20">N22*$E22</f>
        <v>0</v>
      </c>
      <c r="P22" s="13">
        <f t="shared" ref="P22:P29" si="21">MEDIAN(J22,H22,F22,L22,N22)</f>
        <v>2806.9</v>
      </c>
      <c r="Q22" s="5" t="str">
        <f t="shared" ref="Q22:Q29" si="22">_xlfn.XLOOKUP(P22,F22:O22,$F$7:$O$7)</f>
        <v>DTS SANEAMENTO VÁLVULAS E CONEXÕES LTDA</v>
      </c>
      <c r="R22" s="1" t="str">
        <f>_xlfn.XLOOKUP(Q22,'RELAÇÃO DE FORNECEDORES'!$A$3:$A$287,'RELAÇÃO DE FORNECEDORES'!$B$3:$B$287)</f>
        <v>30.194.330/0001-26</v>
      </c>
      <c r="S22" s="1" t="str">
        <f>_xlfn.XLOOKUP(Q22,'RELAÇÃO DE FORNECEDORES'!$A$3:$A$287,'RELAÇÃO DE FORNECEDORES'!$E$3:$E$287)</f>
        <v>GILVAN MARTINS</v>
      </c>
      <c r="T22" s="12">
        <f>_xlfn.XLOOKUP(Q22,'RELAÇÃO DE FORNECEDORES'!$A$3:$A$287,'RELAÇÃO DE FORNECEDORES'!$C$3:$C$287)</f>
        <v>44546</v>
      </c>
    </row>
    <row r="23" spans="1:20" ht="25.5" x14ac:dyDescent="0.25">
      <c r="A23" s="11">
        <v>14</v>
      </c>
      <c r="B23" s="11" t="s">
        <v>318</v>
      </c>
      <c r="C23" s="14" t="s">
        <v>182</v>
      </c>
      <c r="D23" s="11" t="s">
        <v>4</v>
      </c>
      <c r="E23" s="8">
        <v>4</v>
      </c>
      <c r="F23" s="9">
        <v>5918.94</v>
      </c>
      <c r="G23" s="6">
        <f t="shared" si="16"/>
        <v>23675.759999999998</v>
      </c>
      <c r="H23" s="6">
        <v>9190</v>
      </c>
      <c r="I23" s="6">
        <f t="shared" si="17"/>
        <v>36760</v>
      </c>
      <c r="J23" s="6">
        <v>6177</v>
      </c>
      <c r="K23" s="6">
        <f t="shared" si="18"/>
        <v>24708</v>
      </c>
      <c r="L23" s="6"/>
      <c r="M23" s="7">
        <f t="shared" si="19"/>
        <v>0</v>
      </c>
      <c r="N23" s="6"/>
      <c r="O23" s="7">
        <f t="shared" si="20"/>
        <v>0</v>
      </c>
      <c r="P23" s="13">
        <f t="shared" si="21"/>
        <v>6177</v>
      </c>
      <c r="Q23" s="5" t="str">
        <f t="shared" si="22"/>
        <v>DTS SANEAMENTO VÁLVULAS E CONEXÕES LTDA</v>
      </c>
      <c r="R23" s="1" t="str">
        <f>_xlfn.XLOOKUP(Q23,'RELAÇÃO DE FORNECEDORES'!$A$3:$A$287,'RELAÇÃO DE FORNECEDORES'!$B$3:$B$287)</f>
        <v>30.194.330/0001-26</v>
      </c>
      <c r="S23" s="1" t="str">
        <f>_xlfn.XLOOKUP(Q23,'RELAÇÃO DE FORNECEDORES'!$A$3:$A$287,'RELAÇÃO DE FORNECEDORES'!$E$3:$E$287)</f>
        <v>GILVAN MARTINS</v>
      </c>
      <c r="T23" s="12">
        <f>_xlfn.XLOOKUP(Q23,'RELAÇÃO DE FORNECEDORES'!$A$3:$A$287,'RELAÇÃO DE FORNECEDORES'!$C$3:$C$287)</f>
        <v>44546</v>
      </c>
    </row>
    <row r="24" spans="1:20" ht="25.5" x14ac:dyDescent="0.25">
      <c r="A24" s="11">
        <v>15</v>
      </c>
      <c r="B24" s="11" t="s">
        <v>319</v>
      </c>
      <c r="C24" s="14" t="s">
        <v>303</v>
      </c>
      <c r="D24" s="11" t="s">
        <v>4</v>
      </c>
      <c r="E24" s="8">
        <v>4</v>
      </c>
      <c r="F24" s="9">
        <v>1894.06</v>
      </c>
      <c r="G24" s="6">
        <f t="shared" si="16"/>
        <v>7576.24</v>
      </c>
      <c r="H24" s="6">
        <v>2205</v>
      </c>
      <c r="I24" s="6">
        <f t="shared" si="17"/>
        <v>8820</v>
      </c>
      <c r="J24" s="6">
        <v>1972.5</v>
      </c>
      <c r="K24" s="6">
        <f t="shared" si="18"/>
        <v>7890</v>
      </c>
      <c r="L24" s="6"/>
      <c r="M24" s="7">
        <f t="shared" si="19"/>
        <v>0</v>
      </c>
      <c r="N24" s="6"/>
      <c r="O24" s="7">
        <f t="shared" si="20"/>
        <v>0</v>
      </c>
      <c r="P24" s="13">
        <f t="shared" si="21"/>
        <v>1972.5</v>
      </c>
      <c r="Q24" s="5" t="str">
        <f t="shared" si="22"/>
        <v>DTS SANEAMENTO VÁLVULAS E CONEXÕES LTDA</v>
      </c>
      <c r="R24" s="1" t="str">
        <f>_xlfn.XLOOKUP(Q24,'RELAÇÃO DE FORNECEDORES'!$A$3:$A$287,'RELAÇÃO DE FORNECEDORES'!$B$3:$B$287)</f>
        <v>30.194.330/0001-26</v>
      </c>
      <c r="S24" s="1" t="str">
        <f>_xlfn.XLOOKUP(Q24,'RELAÇÃO DE FORNECEDORES'!$A$3:$A$287,'RELAÇÃO DE FORNECEDORES'!$E$3:$E$287)</f>
        <v>GILVAN MARTINS</v>
      </c>
      <c r="T24" s="12">
        <f>_xlfn.XLOOKUP(Q24,'RELAÇÃO DE FORNECEDORES'!$A$3:$A$287,'RELAÇÃO DE FORNECEDORES'!$C$3:$C$287)</f>
        <v>44546</v>
      </c>
    </row>
    <row r="25" spans="1:20" ht="25.5" x14ac:dyDescent="0.25">
      <c r="A25" s="11">
        <v>16</v>
      </c>
      <c r="B25" s="11" t="s">
        <v>320</v>
      </c>
      <c r="C25" s="14" t="s">
        <v>251</v>
      </c>
      <c r="D25" s="11" t="s">
        <v>4</v>
      </c>
      <c r="E25" s="8">
        <v>4</v>
      </c>
      <c r="F25" s="9">
        <v>23032.61</v>
      </c>
      <c r="G25" s="6">
        <f t="shared" si="16"/>
        <v>92130.44</v>
      </c>
      <c r="H25" s="6">
        <v>24500</v>
      </c>
      <c r="I25" s="6">
        <f t="shared" si="17"/>
        <v>98000</v>
      </c>
      <c r="J25" s="6">
        <v>18462</v>
      </c>
      <c r="K25" s="6">
        <f t="shared" si="18"/>
        <v>73848</v>
      </c>
      <c r="L25" s="6"/>
      <c r="M25" s="7">
        <f t="shared" si="19"/>
        <v>0</v>
      </c>
      <c r="N25" s="6"/>
      <c r="O25" s="7">
        <f t="shared" si="20"/>
        <v>0</v>
      </c>
      <c r="P25" s="13">
        <f t="shared" si="21"/>
        <v>23032.61</v>
      </c>
      <c r="Q25" s="5" t="str">
        <f t="shared" si="22"/>
        <v>ANGOLINI &amp; ANGOLINI LTDA</v>
      </c>
      <c r="R25" s="1" t="str">
        <f>_xlfn.XLOOKUP(Q25,'RELAÇÃO DE FORNECEDORES'!$A$3:$A$287,'RELAÇÃO DE FORNECEDORES'!$B$3:$B$287)</f>
        <v>44.829.653/0001-53</v>
      </c>
      <c r="S25" s="1" t="str">
        <f>_xlfn.XLOOKUP(Q25,'RELAÇÃO DE FORNECEDORES'!$A$3:$A$287,'RELAÇÃO DE FORNECEDORES'!$E$3:$E$287)</f>
        <v>ANTÔNIO CANDIDO</v>
      </c>
      <c r="T25" s="12">
        <f>_xlfn.XLOOKUP(Q25,'RELAÇÃO DE FORNECEDORES'!$A$3:$A$287,'RELAÇÃO DE FORNECEDORES'!$C$3:$C$287)</f>
        <v>44547</v>
      </c>
    </row>
    <row r="26" spans="1:20" ht="25.5" x14ac:dyDescent="0.25">
      <c r="A26" s="11">
        <v>17</v>
      </c>
      <c r="B26" s="11" t="s">
        <v>321</v>
      </c>
      <c r="C26" s="14" t="s">
        <v>247</v>
      </c>
      <c r="D26" s="11" t="s">
        <v>4</v>
      </c>
      <c r="E26" s="8">
        <v>4</v>
      </c>
      <c r="F26" s="9">
        <v>6743.9</v>
      </c>
      <c r="G26" s="6">
        <f t="shared" si="16"/>
        <v>26975.599999999999</v>
      </c>
      <c r="H26" s="6">
        <v>5400</v>
      </c>
      <c r="I26" s="6">
        <f t="shared" si="17"/>
        <v>21600</v>
      </c>
      <c r="J26" s="6">
        <v>4890</v>
      </c>
      <c r="K26" s="6">
        <f t="shared" si="18"/>
        <v>19560</v>
      </c>
      <c r="L26" s="6"/>
      <c r="M26" s="7">
        <f t="shared" si="19"/>
        <v>0</v>
      </c>
      <c r="N26" s="6"/>
      <c r="O26" s="7">
        <f t="shared" si="20"/>
        <v>0</v>
      </c>
      <c r="P26" s="13">
        <f t="shared" si="21"/>
        <v>5400</v>
      </c>
      <c r="Q26" s="5" t="str">
        <f t="shared" si="22"/>
        <v>V E GOMES ARAUJO EIRELI (MT SANEAMENTO)</v>
      </c>
      <c r="R26" s="1" t="str">
        <f>_xlfn.XLOOKUP(Q26,'RELAÇÃO DE FORNECEDORES'!$A$3:$A$287,'RELAÇÃO DE FORNECEDORES'!$B$3:$B$287)</f>
        <v>20.775.930/0001-24</v>
      </c>
      <c r="S26" s="1" t="str">
        <f>_xlfn.XLOOKUP(Q26,'RELAÇÃO DE FORNECEDORES'!$A$3:$A$287,'RELAÇÃO DE FORNECEDORES'!$E$3:$E$287)</f>
        <v>VICTOR ARAUJO</v>
      </c>
      <c r="T26" s="12">
        <f>_xlfn.XLOOKUP(Q26,'RELAÇÃO DE FORNECEDORES'!$A$3:$A$287,'RELAÇÃO DE FORNECEDORES'!$C$3:$C$287)</f>
        <v>44547</v>
      </c>
    </row>
    <row r="27" spans="1:20" ht="25.5" x14ac:dyDescent="0.25">
      <c r="A27" s="11">
        <v>18</v>
      </c>
      <c r="B27" s="11" t="s">
        <v>322</v>
      </c>
      <c r="C27" s="14" t="s">
        <v>183</v>
      </c>
      <c r="D27" s="11" t="s">
        <v>4</v>
      </c>
      <c r="E27" s="8">
        <v>2</v>
      </c>
      <c r="F27" s="9">
        <v>5065.88</v>
      </c>
      <c r="G27" s="6">
        <f t="shared" si="16"/>
        <v>10131.76</v>
      </c>
      <c r="H27" s="6">
        <v>3580</v>
      </c>
      <c r="I27" s="6">
        <f t="shared" si="17"/>
        <v>7160</v>
      </c>
      <c r="J27" s="6">
        <v>4622</v>
      </c>
      <c r="K27" s="6">
        <f t="shared" si="18"/>
        <v>9244</v>
      </c>
      <c r="L27" s="6"/>
      <c r="M27" s="7">
        <f t="shared" si="19"/>
        <v>0</v>
      </c>
      <c r="N27" s="6"/>
      <c r="O27" s="7">
        <f t="shared" si="20"/>
        <v>0</v>
      </c>
      <c r="P27" s="13">
        <f t="shared" si="21"/>
        <v>4622</v>
      </c>
      <c r="Q27" s="5" t="str">
        <f t="shared" si="22"/>
        <v>DTS SANEAMENTO VÁLVULAS E CONEXÕES LTDA</v>
      </c>
      <c r="R27" s="1" t="str">
        <f>_xlfn.XLOOKUP(Q27,'RELAÇÃO DE FORNECEDORES'!$A$3:$A$287,'RELAÇÃO DE FORNECEDORES'!$B$3:$B$287)</f>
        <v>30.194.330/0001-26</v>
      </c>
      <c r="S27" s="1" t="str">
        <f>_xlfn.XLOOKUP(Q27,'RELAÇÃO DE FORNECEDORES'!$A$3:$A$287,'RELAÇÃO DE FORNECEDORES'!$E$3:$E$287)</f>
        <v>GILVAN MARTINS</v>
      </c>
      <c r="T27" s="12">
        <f>_xlfn.XLOOKUP(Q27,'RELAÇÃO DE FORNECEDORES'!$A$3:$A$287,'RELAÇÃO DE FORNECEDORES'!$C$3:$C$287)</f>
        <v>44546</v>
      </c>
    </row>
    <row r="28" spans="1:20" ht="25.5" x14ac:dyDescent="0.25">
      <c r="A28" s="11">
        <v>19</v>
      </c>
      <c r="B28" s="11" t="s">
        <v>323</v>
      </c>
      <c r="C28" s="14" t="s">
        <v>252</v>
      </c>
      <c r="D28" s="11" t="s">
        <v>4</v>
      </c>
      <c r="E28" s="8">
        <v>2</v>
      </c>
      <c r="F28" s="9">
        <v>2983.88</v>
      </c>
      <c r="G28" s="6">
        <f t="shared" si="16"/>
        <v>5967.76</v>
      </c>
      <c r="H28" s="6">
        <v>3112</v>
      </c>
      <c r="I28" s="6">
        <f t="shared" si="17"/>
        <v>6224</v>
      </c>
      <c r="J28" s="6">
        <v>4189</v>
      </c>
      <c r="K28" s="6">
        <f t="shared" si="18"/>
        <v>8378</v>
      </c>
      <c r="L28" s="6"/>
      <c r="M28" s="7">
        <f t="shared" si="19"/>
        <v>0</v>
      </c>
      <c r="N28" s="6"/>
      <c r="O28" s="7">
        <f t="shared" si="20"/>
        <v>0</v>
      </c>
      <c r="P28" s="13">
        <f t="shared" si="21"/>
        <v>3112</v>
      </c>
      <c r="Q28" s="5" t="str">
        <f t="shared" si="22"/>
        <v>V E GOMES ARAUJO EIRELI (MT SANEAMENTO)</v>
      </c>
      <c r="R28" s="1" t="str">
        <f>_xlfn.XLOOKUP(Q28,'RELAÇÃO DE FORNECEDORES'!$A$3:$A$287,'RELAÇÃO DE FORNECEDORES'!$B$3:$B$287)</f>
        <v>20.775.930/0001-24</v>
      </c>
      <c r="S28" s="1" t="str">
        <f>_xlfn.XLOOKUP(Q28,'RELAÇÃO DE FORNECEDORES'!$A$3:$A$287,'RELAÇÃO DE FORNECEDORES'!$E$3:$E$287)</f>
        <v>VICTOR ARAUJO</v>
      </c>
      <c r="T28" s="12">
        <f>_xlfn.XLOOKUP(Q28,'RELAÇÃO DE FORNECEDORES'!$A$3:$A$287,'RELAÇÃO DE FORNECEDORES'!$C$3:$C$287)</f>
        <v>44547</v>
      </c>
    </row>
    <row r="29" spans="1:20" ht="25.5" x14ac:dyDescent="0.25">
      <c r="A29" s="11">
        <v>20</v>
      </c>
      <c r="B29" s="11" t="s">
        <v>324</v>
      </c>
      <c r="C29" s="14" t="s">
        <v>304</v>
      </c>
      <c r="D29" s="11" t="s">
        <v>4</v>
      </c>
      <c r="E29" s="8">
        <v>2</v>
      </c>
      <c r="F29" s="9">
        <v>25647.93</v>
      </c>
      <c r="G29" s="6">
        <f t="shared" si="16"/>
        <v>51295.86</v>
      </c>
      <c r="H29" s="6">
        <v>21000</v>
      </c>
      <c r="I29" s="6">
        <f t="shared" si="17"/>
        <v>42000</v>
      </c>
      <c r="J29" s="6">
        <v>23148</v>
      </c>
      <c r="K29" s="6">
        <f t="shared" si="18"/>
        <v>46296</v>
      </c>
      <c r="L29" s="6"/>
      <c r="M29" s="7">
        <f t="shared" si="19"/>
        <v>0</v>
      </c>
      <c r="N29" s="6"/>
      <c r="O29" s="7">
        <f t="shared" si="20"/>
        <v>0</v>
      </c>
      <c r="P29" s="13">
        <f t="shared" si="21"/>
        <v>23148</v>
      </c>
      <c r="Q29" s="5" t="str">
        <f t="shared" si="22"/>
        <v>DTS SANEAMENTO VÁLVULAS E CONEXÕES LTDA</v>
      </c>
      <c r="R29" s="1" t="str">
        <f>_xlfn.XLOOKUP(Q29,'RELAÇÃO DE FORNECEDORES'!$A$3:$A$287,'RELAÇÃO DE FORNECEDORES'!$B$3:$B$287)</f>
        <v>30.194.330/0001-26</v>
      </c>
      <c r="S29" s="1" t="str">
        <f>_xlfn.XLOOKUP(Q29,'RELAÇÃO DE FORNECEDORES'!$A$3:$A$287,'RELAÇÃO DE FORNECEDORES'!$E$3:$E$287)</f>
        <v>GILVAN MARTINS</v>
      </c>
      <c r="T29" s="12">
        <f>_xlfn.XLOOKUP(Q29,'RELAÇÃO DE FORNECEDORES'!$A$3:$A$287,'RELAÇÃO DE FORNECEDORES'!$C$3:$C$287)</f>
        <v>44546</v>
      </c>
    </row>
    <row r="30" spans="1:20" ht="25.5" x14ac:dyDescent="0.25">
      <c r="A30" s="11">
        <v>21</v>
      </c>
      <c r="B30" s="11" t="s">
        <v>269</v>
      </c>
      <c r="C30" s="14" t="s">
        <v>305</v>
      </c>
      <c r="D30" s="11" t="s">
        <v>4</v>
      </c>
      <c r="E30" s="8">
        <v>2</v>
      </c>
      <c r="F30" s="9">
        <v>1836.7</v>
      </c>
      <c r="G30" s="6">
        <f t="shared" si="9"/>
        <v>3673.4</v>
      </c>
      <c r="H30" s="6">
        <v>2110</v>
      </c>
      <c r="I30" s="6">
        <f t="shared" si="10"/>
        <v>4220</v>
      </c>
      <c r="J30" s="6">
        <v>1912.9</v>
      </c>
      <c r="K30" s="6">
        <f t="shared" si="11"/>
        <v>3825.8</v>
      </c>
      <c r="L30" s="6"/>
      <c r="M30" s="7">
        <f t="shared" si="12"/>
        <v>0</v>
      </c>
      <c r="N30" s="6"/>
      <c r="O30" s="7">
        <f t="shared" si="13"/>
        <v>0</v>
      </c>
      <c r="P30" s="13">
        <f t="shared" si="14"/>
        <v>1912.9</v>
      </c>
      <c r="Q30" s="5" t="str">
        <f t="shared" si="15"/>
        <v>DTS SANEAMENTO VÁLVULAS E CONEXÕES LTDA</v>
      </c>
      <c r="R30" s="1" t="str">
        <f>_xlfn.XLOOKUP(Q30,'RELAÇÃO DE FORNECEDORES'!$A$3:$A$287,'RELAÇÃO DE FORNECEDORES'!$B$3:$B$287)</f>
        <v>30.194.330/0001-26</v>
      </c>
      <c r="S30" s="1" t="str">
        <f>_xlfn.XLOOKUP(Q30,'RELAÇÃO DE FORNECEDORES'!$A$3:$A$287,'RELAÇÃO DE FORNECEDORES'!$E$3:$E$287)</f>
        <v>GILVAN MARTINS</v>
      </c>
      <c r="T30" s="12">
        <f>_xlfn.XLOOKUP(Q30,'RELAÇÃO DE FORNECEDORES'!$A$3:$A$287,'RELAÇÃO DE FORNECEDORES'!$C$3:$C$287)</f>
        <v>44546</v>
      </c>
    </row>
    <row r="31" spans="1:20" ht="25.5" x14ac:dyDescent="0.25">
      <c r="A31" s="11">
        <v>22</v>
      </c>
      <c r="B31" s="11" t="s">
        <v>325</v>
      </c>
      <c r="C31" s="14" t="s">
        <v>306</v>
      </c>
      <c r="D31" s="11" t="s">
        <v>4</v>
      </c>
      <c r="E31" s="8">
        <v>1</v>
      </c>
      <c r="F31" s="9">
        <v>1354.64</v>
      </c>
      <c r="G31" s="6">
        <f t="shared" si="9"/>
        <v>1354.64</v>
      </c>
      <c r="H31" s="6">
        <v>1812</v>
      </c>
      <c r="I31" s="6">
        <f t="shared" si="10"/>
        <v>1812</v>
      </c>
      <c r="J31" s="6">
        <v>1410.9</v>
      </c>
      <c r="K31" s="6">
        <f t="shared" si="11"/>
        <v>1410.9</v>
      </c>
      <c r="L31" s="6"/>
      <c r="M31" s="7">
        <f t="shared" si="12"/>
        <v>0</v>
      </c>
      <c r="N31" s="6"/>
      <c r="O31" s="7">
        <f t="shared" si="13"/>
        <v>0</v>
      </c>
      <c r="P31" s="13">
        <f t="shared" si="14"/>
        <v>1410.9</v>
      </c>
      <c r="Q31" s="5" t="str">
        <f t="shared" si="15"/>
        <v>DTS SANEAMENTO VÁLVULAS E CONEXÕES LTDA</v>
      </c>
      <c r="R31" s="1" t="str">
        <f>_xlfn.XLOOKUP(Q31,'RELAÇÃO DE FORNECEDORES'!$A$3:$A$287,'RELAÇÃO DE FORNECEDORES'!$B$3:$B$287)</f>
        <v>30.194.330/0001-26</v>
      </c>
      <c r="S31" s="1" t="str">
        <f>_xlfn.XLOOKUP(Q31,'RELAÇÃO DE FORNECEDORES'!$A$3:$A$287,'RELAÇÃO DE FORNECEDORES'!$E$3:$E$287)</f>
        <v>GILVAN MARTINS</v>
      </c>
      <c r="T31" s="12">
        <f>_xlfn.XLOOKUP(Q31,'RELAÇÃO DE FORNECEDORES'!$A$3:$A$287,'RELAÇÃO DE FORNECEDORES'!$C$3:$C$287)</f>
        <v>44546</v>
      </c>
    </row>
    <row r="32" spans="1:20" x14ac:dyDescent="0.25">
      <c r="A32" s="11">
        <v>23</v>
      </c>
      <c r="B32" s="11" t="s">
        <v>326</v>
      </c>
      <c r="C32" s="14" t="s">
        <v>260</v>
      </c>
      <c r="D32" s="11" t="s">
        <v>4</v>
      </c>
      <c r="E32" s="8">
        <v>9</v>
      </c>
      <c r="F32" s="9">
        <v>63.7</v>
      </c>
      <c r="G32" s="6">
        <f t="shared" si="9"/>
        <v>573.30000000000007</v>
      </c>
      <c r="H32" s="6">
        <v>48</v>
      </c>
      <c r="I32" s="6">
        <f t="shared" si="10"/>
        <v>432</v>
      </c>
      <c r="J32" s="6">
        <v>68</v>
      </c>
      <c r="K32" s="6">
        <f t="shared" si="11"/>
        <v>612</v>
      </c>
      <c r="L32" s="6"/>
      <c r="M32" s="7">
        <f t="shared" si="12"/>
        <v>0</v>
      </c>
      <c r="N32" s="6"/>
      <c r="O32" s="7">
        <f t="shared" si="13"/>
        <v>0</v>
      </c>
      <c r="P32" s="13">
        <f t="shared" si="14"/>
        <v>63.7</v>
      </c>
      <c r="Q32" s="5" t="str">
        <f t="shared" si="15"/>
        <v>ANGOLINI &amp; ANGOLINI LTDA</v>
      </c>
      <c r="R32" s="1" t="str">
        <f>_xlfn.XLOOKUP(Q32,'RELAÇÃO DE FORNECEDORES'!$A$3:$A$287,'RELAÇÃO DE FORNECEDORES'!$B$3:$B$287)</f>
        <v>44.829.653/0001-53</v>
      </c>
      <c r="S32" s="1" t="str">
        <f>_xlfn.XLOOKUP(Q32,'RELAÇÃO DE FORNECEDORES'!$A$3:$A$287,'RELAÇÃO DE FORNECEDORES'!$E$3:$E$287)</f>
        <v>ANTÔNIO CANDIDO</v>
      </c>
      <c r="T32" s="12">
        <f>_xlfn.XLOOKUP(Q32,'RELAÇÃO DE FORNECEDORES'!$A$3:$A$287,'RELAÇÃO DE FORNECEDORES'!$C$3:$C$287)</f>
        <v>44547</v>
      </c>
    </row>
    <row r="33" spans="1:20" x14ac:dyDescent="0.25">
      <c r="A33" s="11">
        <v>24</v>
      </c>
      <c r="B33" s="11" t="s">
        <v>327</v>
      </c>
      <c r="C33" s="14" t="s">
        <v>261</v>
      </c>
      <c r="D33" s="11" t="s">
        <v>4</v>
      </c>
      <c r="E33" s="8">
        <v>19</v>
      </c>
      <c r="F33" s="9">
        <v>29.11</v>
      </c>
      <c r="G33" s="6">
        <f t="shared" si="9"/>
        <v>553.09</v>
      </c>
      <c r="H33" s="6">
        <v>24</v>
      </c>
      <c r="I33" s="6">
        <f t="shared" si="10"/>
        <v>456</v>
      </c>
      <c r="J33" s="6">
        <v>42</v>
      </c>
      <c r="K33" s="6">
        <f t="shared" si="11"/>
        <v>798</v>
      </c>
      <c r="L33" s="6"/>
      <c r="M33" s="7">
        <f t="shared" si="12"/>
        <v>0</v>
      </c>
      <c r="N33" s="6"/>
      <c r="O33" s="7">
        <f t="shared" si="13"/>
        <v>0</v>
      </c>
      <c r="P33" s="13">
        <f t="shared" si="14"/>
        <v>29.11</v>
      </c>
      <c r="Q33" s="5" t="str">
        <f t="shared" si="15"/>
        <v>ANGOLINI &amp; ANGOLINI LTDA</v>
      </c>
      <c r="R33" s="1" t="str">
        <f>_xlfn.XLOOKUP(Q33,'RELAÇÃO DE FORNECEDORES'!$A$3:$A$287,'RELAÇÃO DE FORNECEDORES'!$B$3:$B$287)</f>
        <v>44.829.653/0001-53</v>
      </c>
      <c r="S33" s="1" t="str">
        <f>_xlfn.XLOOKUP(Q33,'RELAÇÃO DE FORNECEDORES'!$A$3:$A$287,'RELAÇÃO DE FORNECEDORES'!$E$3:$E$287)</f>
        <v>ANTÔNIO CANDIDO</v>
      </c>
      <c r="T33" s="12">
        <f>_xlfn.XLOOKUP(Q33,'RELAÇÃO DE FORNECEDORES'!$A$3:$A$287,'RELAÇÃO DE FORNECEDORES'!$C$3:$C$287)</f>
        <v>44547</v>
      </c>
    </row>
    <row r="34" spans="1:20" ht="25.5" x14ac:dyDescent="0.25">
      <c r="A34" s="11">
        <v>25</v>
      </c>
      <c r="B34" s="11" t="s">
        <v>328</v>
      </c>
      <c r="C34" s="14" t="s">
        <v>195</v>
      </c>
      <c r="D34" s="11" t="s">
        <v>4</v>
      </c>
      <c r="E34" s="8">
        <v>4</v>
      </c>
      <c r="F34" s="9">
        <v>13.36</v>
      </c>
      <c r="G34" s="6">
        <f t="shared" si="9"/>
        <v>53.44</v>
      </c>
      <c r="H34" s="6">
        <v>13</v>
      </c>
      <c r="I34" s="6">
        <f t="shared" si="10"/>
        <v>52</v>
      </c>
      <c r="J34" s="6">
        <v>12.6</v>
      </c>
      <c r="K34" s="6">
        <f t="shared" si="11"/>
        <v>50.4</v>
      </c>
      <c r="L34" s="6"/>
      <c r="M34" s="7">
        <f t="shared" si="12"/>
        <v>0</v>
      </c>
      <c r="N34" s="6"/>
      <c r="O34" s="7">
        <f t="shared" si="13"/>
        <v>0</v>
      </c>
      <c r="P34" s="13">
        <f t="shared" si="14"/>
        <v>13</v>
      </c>
      <c r="Q34" s="5" t="str">
        <f t="shared" si="15"/>
        <v>V E GOMES ARAUJO EIRELI (MT SANEAMENTO)</v>
      </c>
      <c r="R34" s="1" t="str">
        <f>_xlfn.XLOOKUP(Q34,'RELAÇÃO DE FORNECEDORES'!$A$3:$A$287,'RELAÇÃO DE FORNECEDORES'!$B$3:$B$287)</f>
        <v>20.775.930/0001-24</v>
      </c>
      <c r="S34" s="1" t="str">
        <f>_xlfn.XLOOKUP(Q34,'RELAÇÃO DE FORNECEDORES'!$A$3:$A$287,'RELAÇÃO DE FORNECEDORES'!$E$3:$E$287)</f>
        <v>VICTOR ARAUJO</v>
      </c>
      <c r="T34" s="12">
        <f>_xlfn.XLOOKUP(Q34,'RELAÇÃO DE FORNECEDORES'!$A$3:$A$287,'RELAÇÃO DE FORNECEDORES'!$C$3:$C$287)</f>
        <v>44547</v>
      </c>
    </row>
    <row r="35" spans="1:20" x14ac:dyDescent="0.25">
      <c r="A35" s="11">
        <v>26</v>
      </c>
      <c r="B35" s="11" t="s">
        <v>329</v>
      </c>
      <c r="C35" s="14" t="s">
        <v>262</v>
      </c>
      <c r="D35" s="11" t="s">
        <v>4</v>
      </c>
      <c r="E35" s="8">
        <v>180</v>
      </c>
      <c r="F35" s="9">
        <v>51.5</v>
      </c>
      <c r="G35" s="6">
        <f t="shared" si="2"/>
        <v>9270</v>
      </c>
      <c r="H35" s="6">
        <v>62</v>
      </c>
      <c r="I35" s="6">
        <f t="shared" si="3"/>
        <v>11160</v>
      </c>
      <c r="J35" s="6">
        <v>36</v>
      </c>
      <c r="K35" s="6">
        <f t="shared" si="4"/>
        <v>6480</v>
      </c>
      <c r="L35" s="6"/>
      <c r="M35" s="7">
        <f t="shared" si="5"/>
        <v>0</v>
      </c>
      <c r="N35" s="6"/>
      <c r="O35" s="7">
        <f t="shared" si="6"/>
        <v>0</v>
      </c>
      <c r="P35" s="13">
        <f t="shared" si="7"/>
        <v>51.5</v>
      </c>
      <c r="Q35" s="5" t="str">
        <f t="shared" si="8"/>
        <v>ANGOLINI &amp; ANGOLINI LTDA</v>
      </c>
      <c r="R35" s="1" t="str">
        <f>_xlfn.XLOOKUP(Q35,'RELAÇÃO DE FORNECEDORES'!$A$3:$A$287,'RELAÇÃO DE FORNECEDORES'!$B$3:$B$287)</f>
        <v>44.829.653/0001-53</v>
      </c>
      <c r="S35" s="1" t="str">
        <f>_xlfn.XLOOKUP(Q35,'RELAÇÃO DE FORNECEDORES'!$A$3:$A$287,'RELAÇÃO DE FORNECEDORES'!$E$3:$E$287)</f>
        <v>ANTÔNIO CANDIDO</v>
      </c>
      <c r="T35" s="12">
        <f>_xlfn.XLOOKUP(Q35,'RELAÇÃO DE FORNECEDORES'!$A$3:$A$287,'RELAÇÃO DE FORNECEDORES'!$C$3:$C$287)</f>
        <v>44547</v>
      </c>
    </row>
    <row r="36" spans="1:20" x14ac:dyDescent="0.25">
      <c r="A36" s="11">
        <v>27</v>
      </c>
      <c r="B36" s="11" t="s">
        <v>330</v>
      </c>
      <c r="C36" s="14" t="s">
        <v>263</v>
      </c>
      <c r="D36" s="11" t="s">
        <v>4</v>
      </c>
      <c r="E36" s="8">
        <v>304</v>
      </c>
      <c r="F36" s="9">
        <v>32.71</v>
      </c>
      <c r="G36" s="6">
        <f t="shared" si="2"/>
        <v>9943.84</v>
      </c>
      <c r="H36" s="6">
        <v>36</v>
      </c>
      <c r="I36" s="6">
        <f t="shared" si="3"/>
        <v>10944</v>
      </c>
      <c r="J36" s="6">
        <v>28</v>
      </c>
      <c r="K36" s="6">
        <f t="shared" si="4"/>
        <v>8512</v>
      </c>
      <c r="L36" s="6"/>
      <c r="M36" s="7">
        <f t="shared" si="5"/>
        <v>0</v>
      </c>
      <c r="N36" s="6"/>
      <c r="O36" s="7">
        <f t="shared" si="6"/>
        <v>0</v>
      </c>
      <c r="P36" s="13">
        <f t="shared" si="7"/>
        <v>32.71</v>
      </c>
      <c r="Q36" s="5" t="str">
        <f t="shared" si="8"/>
        <v>ANGOLINI &amp; ANGOLINI LTDA</v>
      </c>
      <c r="R36" s="1" t="str">
        <f>_xlfn.XLOOKUP(Q36,'RELAÇÃO DE FORNECEDORES'!$A$3:$A$287,'RELAÇÃO DE FORNECEDORES'!$B$3:$B$287)</f>
        <v>44.829.653/0001-53</v>
      </c>
      <c r="S36" s="1" t="str">
        <f>_xlfn.XLOOKUP(Q36,'RELAÇÃO DE FORNECEDORES'!$A$3:$A$287,'RELAÇÃO DE FORNECEDORES'!$E$3:$E$287)</f>
        <v>ANTÔNIO CANDIDO</v>
      </c>
      <c r="T36" s="12">
        <f>_xlfn.XLOOKUP(Q36,'RELAÇÃO DE FORNECEDORES'!$A$3:$A$287,'RELAÇÃO DE FORNECEDORES'!$C$3:$C$287)</f>
        <v>44547</v>
      </c>
    </row>
    <row r="37" spans="1:20" ht="25.5" x14ac:dyDescent="0.25">
      <c r="A37" s="11">
        <v>28</v>
      </c>
      <c r="B37" s="11" t="s">
        <v>331</v>
      </c>
      <c r="C37" s="14" t="s">
        <v>264</v>
      </c>
      <c r="D37" s="11" t="s">
        <v>4</v>
      </c>
      <c r="E37" s="8">
        <v>48</v>
      </c>
      <c r="F37" s="9">
        <v>19.53</v>
      </c>
      <c r="G37" s="6">
        <f t="shared" ref="G37" si="23">F37*$E37</f>
        <v>937.44</v>
      </c>
      <c r="H37" s="6">
        <v>27</v>
      </c>
      <c r="I37" s="6">
        <f t="shared" ref="I37" si="24">H37*$E37</f>
        <v>1296</v>
      </c>
      <c r="J37" s="6">
        <v>19.8</v>
      </c>
      <c r="K37" s="6">
        <f t="shared" ref="K37" si="25">J37*$E37</f>
        <v>950.40000000000009</v>
      </c>
      <c r="L37" s="6"/>
      <c r="M37" s="7">
        <f t="shared" ref="M37" si="26">L37*$E37</f>
        <v>0</v>
      </c>
      <c r="N37" s="6"/>
      <c r="O37" s="7">
        <f t="shared" ref="O37" si="27">N37*$E37</f>
        <v>0</v>
      </c>
      <c r="P37" s="13">
        <f t="shared" ref="P37" si="28">MEDIAN(J37,H37,F37,L37,N37)</f>
        <v>19.8</v>
      </c>
      <c r="Q37" s="5" t="str">
        <f t="shared" ref="Q37" si="29">_xlfn.XLOOKUP(P37,F37:O37,$F$7:$O$7)</f>
        <v>DTS SANEAMENTO VÁLVULAS E CONEXÕES LTDA</v>
      </c>
      <c r="R37" s="1" t="str">
        <f>_xlfn.XLOOKUP(Q37,'RELAÇÃO DE FORNECEDORES'!$A$3:$A$287,'RELAÇÃO DE FORNECEDORES'!$B$3:$B$287)</f>
        <v>30.194.330/0001-26</v>
      </c>
      <c r="S37" s="1" t="str">
        <f>_xlfn.XLOOKUP(Q37,'RELAÇÃO DE FORNECEDORES'!$A$3:$A$287,'RELAÇÃO DE FORNECEDORES'!$E$3:$E$287)</f>
        <v>GILVAN MARTINS</v>
      </c>
      <c r="T37" s="12">
        <f>_xlfn.XLOOKUP(Q37,'RELAÇÃO DE FORNECEDORES'!$A$3:$A$287,'RELAÇÃO DE FORNECEDORES'!$C$3:$C$287)</f>
        <v>44546</v>
      </c>
    </row>
    <row r="38" spans="1:20" x14ac:dyDescent="0.25">
      <c r="L38" s="10"/>
      <c r="N38" s="6"/>
    </row>
    <row r="39" spans="1:20" x14ac:dyDescent="0.25">
      <c r="H39" s="15"/>
      <c r="L39" s="10"/>
      <c r="N39" s="6"/>
    </row>
    <row r="40" spans="1:20" x14ac:dyDescent="0.25">
      <c r="H40" s="15"/>
      <c r="L40" s="10"/>
      <c r="N40" s="6"/>
    </row>
    <row r="41" spans="1:20" x14ac:dyDescent="0.25">
      <c r="H41" s="15"/>
      <c r="L41" s="10"/>
      <c r="N41" s="6"/>
    </row>
    <row r="42" spans="1:20" x14ac:dyDescent="0.25">
      <c r="A42" s="96" t="s">
        <v>241</v>
      </c>
      <c r="B42" s="96"/>
      <c r="C42" s="96"/>
      <c r="D42" s="96"/>
      <c r="E42" s="96"/>
      <c r="F42" s="96"/>
      <c r="G42" s="96"/>
      <c r="H42" s="96"/>
      <c r="I42" s="96"/>
      <c r="J42" s="96"/>
      <c r="K42" s="96"/>
      <c r="L42" s="96"/>
      <c r="M42" s="96"/>
      <c r="N42" s="96"/>
      <c r="O42" s="96"/>
      <c r="P42" s="96"/>
      <c r="Q42" s="96"/>
      <c r="R42" s="96"/>
      <c r="S42" s="96"/>
      <c r="T42" s="96"/>
    </row>
    <row r="43" spans="1:20" x14ac:dyDescent="0.25">
      <c r="A43" s="93" t="s">
        <v>27</v>
      </c>
      <c r="B43" s="93"/>
      <c r="C43" s="93"/>
      <c r="D43" s="93"/>
      <c r="E43" s="94"/>
      <c r="F43" s="95" t="s">
        <v>23</v>
      </c>
      <c r="G43" s="93"/>
      <c r="H43" s="93"/>
      <c r="I43" s="93"/>
      <c r="J43" s="93"/>
      <c r="K43" s="93"/>
      <c r="L43" s="93"/>
      <c r="M43" s="93"/>
      <c r="N43" s="93"/>
      <c r="O43" s="94"/>
      <c r="P43" s="78" t="s">
        <v>25</v>
      </c>
      <c r="Q43" s="78"/>
      <c r="R43" s="78"/>
      <c r="S43" s="78"/>
      <c r="T43" s="78"/>
    </row>
    <row r="44" spans="1:20" ht="54" customHeight="1" x14ac:dyDescent="0.25">
      <c r="A44" s="79" t="s">
        <v>1</v>
      </c>
      <c r="B44" s="79" t="s">
        <v>13</v>
      </c>
      <c r="C44" s="81" t="s">
        <v>0</v>
      </c>
      <c r="D44" s="79" t="s">
        <v>2</v>
      </c>
      <c r="E44" s="83" t="s">
        <v>17</v>
      </c>
      <c r="F44" s="86" t="s">
        <v>6</v>
      </c>
      <c r="G44" s="86"/>
      <c r="H44" s="86" t="s">
        <v>18</v>
      </c>
      <c r="I44" s="86"/>
      <c r="J44" s="86" t="s">
        <v>19</v>
      </c>
      <c r="K44" s="86"/>
      <c r="L44" s="86" t="s">
        <v>20</v>
      </c>
      <c r="M44" s="87"/>
      <c r="N44" s="86" t="s">
        <v>21</v>
      </c>
      <c r="O44" s="86"/>
      <c r="P44" s="88" t="s">
        <v>26</v>
      </c>
      <c r="Q44" s="79"/>
      <c r="R44" s="79"/>
      <c r="S44" s="79"/>
      <c r="T44" s="79"/>
    </row>
    <row r="45" spans="1:20" ht="54" customHeight="1" x14ac:dyDescent="0.25">
      <c r="A45" s="80"/>
      <c r="B45" s="80"/>
      <c r="C45" s="82"/>
      <c r="D45" s="80"/>
      <c r="E45" s="84"/>
      <c r="F45" s="91" t="s">
        <v>202</v>
      </c>
      <c r="G45" s="91"/>
      <c r="H45" s="91" t="s">
        <v>206</v>
      </c>
      <c r="I45" s="91"/>
      <c r="J45" s="91" t="s">
        <v>210</v>
      </c>
      <c r="K45" s="91"/>
      <c r="L45" s="91"/>
      <c r="M45" s="92"/>
      <c r="N45" s="91"/>
      <c r="O45" s="91"/>
      <c r="P45" s="89"/>
      <c r="Q45" s="78"/>
      <c r="R45" s="78"/>
      <c r="S45" s="78"/>
      <c r="T45" s="78"/>
    </row>
    <row r="46" spans="1:20" ht="25.5" x14ac:dyDescent="0.25">
      <c r="A46" s="80"/>
      <c r="B46" s="80"/>
      <c r="C46" s="82"/>
      <c r="D46" s="80"/>
      <c r="E46" s="18" t="s">
        <v>3</v>
      </c>
      <c r="F46" s="29" t="s">
        <v>15</v>
      </c>
      <c r="G46" s="29" t="s">
        <v>16</v>
      </c>
      <c r="H46" s="29" t="s">
        <v>15</v>
      </c>
      <c r="I46" s="29" t="s">
        <v>16</v>
      </c>
      <c r="J46" s="29" t="s">
        <v>15</v>
      </c>
      <c r="K46" s="62" t="s">
        <v>16</v>
      </c>
      <c r="L46" s="62" t="s">
        <v>15</v>
      </c>
      <c r="M46" s="21" t="s">
        <v>16</v>
      </c>
      <c r="N46" s="29" t="s">
        <v>15</v>
      </c>
      <c r="O46" s="29" t="s">
        <v>16</v>
      </c>
      <c r="P46" s="51" t="s">
        <v>24</v>
      </c>
      <c r="Q46" s="28" t="s">
        <v>5</v>
      </c>
      <c r="R46" s="28" t="s">
        <v>8</v>
      </c>
      <c r="S46" s="28" t="s">
        <v>9</v>
      </c>
      <c r="T46" s="29" t="s">
        <v>14</v>
      </c>
    </row>
    <row r="47" spans="1:20" hidden="1" x14ac:dyDescent="0.25">
      <c r="A47" s="45" t="s">
        <v>59</v>
      </c>
      <c r="B47" s="45" t="s">
        <v>60</v>
      </c>
      <c r="C47" s="46" t="s">
        <v>61</v>
      </c>
      <c r="D47" s="45" t="s">
        <v>62</v>
      </c>
      <c r="E47" s="50" t="s">
        <v>63</v>
      </c>
      <c r="F47" s="47" t="s">
        <v>64</v>
      </c>
      <c r="G47" s="47" t="s">
        <v>65</v>
      </c>
      <c r="H47" s="47" t="s">
        <v>66</v>
      </c>
      <c r="I47" s="47" t="s">
        <v>67</v>
      </c>
      <c r="J47" s="47" t="s">
        <v>68</v>
      </c>
      <c r="K47" s="47" t="s">
        <v>69</v>
      </c>
      <c r="L47" s="47" t="s">
        <v>70</v>
      </c>
      <c r="M47" s="59" t="s">
        <v>71</v>
      </c>
      <c r="N47" s="47" t="s">
        <v>72</v>
      </c>
      <c r="O47" s="47" t="s">
        <v>73</v>
      </c>
      <c r="P47" s="54" t="s">
        <v>74</v>
      </c>
      <c r="Q47" s="48" t="s">
        <v>75</v>
      </c>
      <c r="R47" s="45" t="s">
        <v>76</v>
      </c>
      <c r="S47" s="45" t="s">
        <v>77</v>
      </c>
      <c r="T47" s="49" t="s">
        <v>78</v>
      </c>
    </row>
    <row r="48" spans="1:20" ht="25.5" x14ac:dyDescent="0.25">
      <c r="A48" s="34">
        <v>1</v>
      </c>
      <c r="B48" s="34" t="s">
        <v>236</v>
      </c>
      <c r="C48" s="35" t="s">
        <v>242</v>
      </c>
      <c r="D48" s="34" t="s">
        <v>4</v>
      </c>
      <c r="E48" s="36">
        <v>1</v>
      </c>
      <c r="F48" s="37">
        <v>5552.82</v>
      </c>
      <c r="G48" s="37">
        <f t="shared" ref="G48:G73" si="30">F48*$E48</f>
        <v>5552.82</v>
      </c>
      <c r="H48" s="37">
        <v>7720</v>
      </c>
      <c r="I48" s="37">
        <f t="shared" ref="I48:I73" si="31">H48*$E48</f>
        <v>7720</v>
      </c>
      <c r="J48" s="37">
        <v>5606</v>
      </c>
      <c r="K48" s="37">
        <f t="shared" ref="K48:K73" si="32">J48*$E48</f>
        <v>5606</v>
      </c>
      <c r="L48" s="37"/>
      <c r="M48" s="38">
        <f t="shared" ref="M48:M73" si="33">L48*$E48</f>
        <v>0</v>
      </c>
      <c r="N48" s="37"/>
      <c r="O48" s="37">
        <f t="shared" ref="O48:O73" si="34">N48*$E48</f>
        <v>0</v>
      </c>
      <c r="P48" s="53">
        <f>MEDIAN(J48,H48,F48,L48,N48)</f>
        <v>5606</v>
      </c>
      <c r="Q48" s="39" t="str">
        <f>_xlfn.XLOOKUP(P48,F48:O48,$F$7:$O$7)</f>
        <v>DTS SANEAMENTO VÁLVULAS E CONEXÕES LTDA</v>
      </c>
      <c r="R48" s="34" t="str">
        <f>_xlfn.XLOOKUP(Q48,'RELAÇÃO DE FORNECEDORES'!$A$3:$A$287,'RELAÇÃO DE FORNECEDORES'!$B$3:$B$287)</f>
        <v>30.194.330/0001-26</v>
      </c>
      <c r="S48" s="34" t="str">
        <f>_xlfn.XLOOKUP(Q48,'RELAÇÃO DE FORNECEDORES'!$A$3:$A$287,'RELAÇÃO DE FORNECEDORES'!$E$3:$E$287)</f>
        <v>GILVAN MARTINS</v>
      </c>
      <c r="T48" s="40">
        <f>_xlfn.XLOOKUP(Q48,'RELAÇÃO DE FORNECEDORES'!$A$3:$A$287,'RELAÇÃO DE FORNECEDORES'!$C$3:$C$287)</f>
        <v>44546</v>
      </c>
    </row>
    <row r="49" spans="1:20" ht="25.5" x14ac:dyDescent="0.25">
      <c r="A49" s="11">
        <v>2</v>
      </c>
      <c r="B49" s="11" t="s">
        <v>270</v>
      </c>
      <c r="C49" s="14" t="s">
        <v>243</v>
      </c>
      <c r="D49" s="11" t="s">
        <v>4</v>
      </c>
      <c r="E49" s="41">
        <v>1</v>
      </c>
      <c r="F49" s="42">
        <v>18263.29</v>
      </c>
      <c r="G49" s="42">
        <f t="shared" si="30"/>
        <v>18263.29</v>
      </c>
      <c r="H49" s="42">
        <v>22200</v>
      </c>
      <c r="I49" s="42">
        <f t="shared" si="31"/>
        <v>22200</v>
      </c>
      <c r="J49" s="42">
        <v>17177</v>
      </c>
      <c r="K49" s="42">
        <f t="shared" si="32"/>
        <v>17177</v>
      </c>
      <c r="L49" s="42"/>
      <c r="M49" s="73">
        <f t="shared" si="33"/>
        <v>0</v>
      </c>
      <c r="N49" s="42"/>
      <c r="O49" s="42">
        <f t="shared" si="34"/>
        <v>0</v>
      </c>
      <c r="P49" s="52">
        <f t="shared" ref="P49:P73" si="35">MEDIAN(J49,H49,F49,L49,N49)</f>
        <v>18263.29</v>
      </c>
      <c r="Q49" s="43" t="str">
        <f t="shared" ref="Q49:Q73" si="36">_xlfn.XLOOKUP(P49,F49:O49,$F$7:$O$7)</f>
        <v>ANGOLINI &amp; ANGOLINI LTDA</v>
      </c>
      <c r="R49" s="11" t="str">
        <f>_xlfn.XLOOKUP(Q49,'RELAÇÃO DE FORNECEDORES'!$A$3:$A$287,'RELAÇÃO DE FORNECEDORES'!$B$3:$B$287)</f>
        <v>44.829.653/0001-53</v>
      </c>
      <c r="S49" s="11" t="str">
        <f>_xlfn.XLOOKUP(Q49,'RELAÇÃO DE FORNECEDORES'!$A$3:$A$287,'RELAÇÃO DE FORNECEDORES'!$E$3:$E$287)</f>
        <v>ANTÔNIO CANDIDO</v>
      </c>
      <c r="T49" s="44">
        <f>_xlfn.XLOOKUP(Q49,'RELAÇÃO DE FORNECEDORES'!$A$3:$A$287,'RELAÇÃO DE FORNECEDORES'!$C$3:$C$287)</f>
        <v>44547</v>
      </c>
    </row>
    <row r="50" spans="1:20" x14ac:dyDescent="0.25">
      <c r="A50" s="45">
        <v>3</v>
      </c>
      <c r="B50" s="45" t="s">
        <v>271</v>
      </c>
      <c r="C50" s="46" t="s">
        <v>244</v>
      </c>
      <c r="D50" s="45" t="s">
        <v>4</v>
      </c>
      <c r="E50" s="50">
        <v>1</v>
      </c>
      <c r="F50" s="47">
        <v>2411.5100000000002</v>
      </c>
      <c r="G50" s="47">
        <f t="shared" si="30"/>
        <v>2411.5100000000002</v>
      </c>
      <c r="H50" s="47">
        <v>2830</v>
      </c>
      <c r="I50" s="47">
        <f t="shared" si="31"/>
        <v>2830</v>
      </c>
      <c r="J50" s="47">
        <v>2176</v>
      </c>
      <c r="K50" s="47">
        <f t="shared" si="32"/>
        <v>2176</v>
      </c>
      <c r="L50" s="47"/>
      <c r="M50" s="59">
        <f t="shared" si="33"/>
        <v>0</v>
      </c>
      <c r="N50" s="47"/>
      <c r="O50" s="47">
        <f t="shared" si="34"/>
        <v>0</v>
      </c>
      <c r="P50" s="54">
        <f t="shared" si="35"/>
        <v>2411.5100000000002</v>
      </c>
      <c r="Q50" s="48" t="str">
        <f t="shared" si="36"/>
        <v>ANGOLINI &amp; ANGOLINI LTDA</v>
      </c>
      <c r="R50" s="45" t="str">
        <f>_xlfn.XLOOKUP(Q50,'RELAÇÃO DE FORNECEDORES'!$A$3:$A$287,'RELAÇÃO DE FORNECEDORES'!$B$3:$B$287)</f>
        <v>44.829.653/0001-53</v>
      </c>
      <c r="S50" s="45" t="str">
        <f>_xlfn.XLOOKUP(Q50,'RELAÇÃO DE FORNECEDORES'!$A$3:$A$287,'RELAÇÃO DE FORNECEDORES'!$E$3:$E$287)</f>
        <v>ANTÔNIO CANDIDO</v>
      </c>
      <c r="T50" s="49">
        <f>_xlfn.XLOOKUP(Q50,'RELAÇÃO DE FORNECEDORES'!$A$3:$A$287,'RELAÇÃO DE FORNECEDORES'!$C$3:$C$287)</f>
        <v>44547</v>
      </c>
    </row>
    <row r="51" spans="1:20" ht="25.5" x14ac:dyDescent="0.25">
      <c r="A51" s="11">
        <v>4</v>
      </c>
      <c r="B51" s="11" t="s">
        <v>272</v>
      </c>
      <c r="C51" s="14" t="s">
        <v>245</v>
      </c>
      <c r="D51" s="11" t="s">
        <v>4</v>
      </c>
      <c r="E51" s="41">
        <v>6</v>
      </c>
      <c r="F51" s="42">
        <v>1894.06</v>
      </c>
      <c r="G51" s="42">
        <f t="shared" si="30"/>
        <v>11364.36</v>
      </c>
      <c r="H51" s="42">
        <v>2200</v>
      </c>
      <c r="I51" s="42">
        <f t="shared" si="31"/>
        <v>13200</v>
      </c>
      <c r="J51" s="42">
        <v>1972.5</v>
      </c>
      <c r="K51" s="42">
        <f t="shared" si="32"/>
        <v>11835</v>
      </c>
      <c r="L51" s="42"/>
      <c r="M51" s="73">
        <f t="shared" si="33"/>
        <v>0</v>
      </c>
      <c r="N51" s="42"/>
      <c r="O51" s="42">
        <f t="shared" si="34"/>
        <v>0</v>
      </c>
      <c r="P51" s="52">
        <f t="shared" si="35"/>
        <v>1972.5</v>
      </c>
      <c r="Q51" s="43" t="str">
        <f t="shared" si="36"/>
        <v>DTS SANEAMENTO VÁLVULAS E CONEXÕES LTDA</v>
      </c>
      <c r="R51" s="11" t="str">
        <f>_xlfn.XLOOKUP(Q51,'RELAÇÃO DE FORNECEDORES'!$A$3:$A$287,'RELAÇÃO DE FORNECEDORES'!$B$3:$B$287)</f>
        <v>30.194.330/0001-26</v>
      </c>
      <c r="S51" s="11" t="str">
        <f>_xlfn.XLOOKUP(Q51,'RELAÇÃO DE FORNECEDORES'!$A$3:$A$287,'RELAÇÃO DE FORNECEDORES'!$E$3:$E$287)</f>
        <v>GILVAN MARTINS</v>
      </c>
      <c r="T51" s="44">
        <f>_xlfn.XLOOKUP(Q51,'RELAÇÃO DE FORNECEDORES'!$A$3:$A$287,'RELAÇÃO DE FORNECEDORES'!$C$3:$C$287)</f>
        <v>44546</v>
      </c>
    </row>
    <row r="52" spans="1:20" ht="25.5" x14ac:dyDescent="0.25">
      <c r="A52" s="45">
        <v>5</v>
      </c>
      <c r="B52" s="45" t="s">
        <v>273</v>
      </c>
      <c r="C52" s="46" t="s">
        <v>246</v>
      </c>
      <c r="D52" s="45" t="s">
        <v>4</v>
      </c>
      <c r="E52" s="50">
        <v>1</v>
      </c>
      <c r="F52" s="47">
        <v>13900.36</v>
      </c>
      <c r="G52" s="47">
        <f t="shared" si="30"/>
        <v>13900.36</v>
      </c>
      <c r="H52" s="47">
        <v>16000</v>
      </c>
      <c r="I52" s="47">
        <f t="shared" si="31"/>
        <v>16000</v>
      </c>
      <c r="J52" s="47">
        <v>12621</v>
      </c>
      <c r="K52" s="47">
        <f t="shared" si="32"/>
        <v>12621</v>
      </c>
      <c r="L52" s="47"/>
      <c r="M52" s="59">
        <f t="shared" si="33"/>
        <v>0</v>
      </c>
      <c r="N52" s="47"/>
      <c r="O52" s="47">
        <f t="shared" si="34"/>
        <v>0</v>
      </c>
      <c r="P52" s="54">
        <f t="shared" si="35"/>
        <v>13900.36</v>
      </c>
      <c r="Q52" s="48" t="str">
        <f t="shared" si="36"/>
        <v>ANGOLINI &amp; ANGOLINI LTDA</v>
      </c>
      <c r="R52" s="45" t="str">
        <f>_xlfn.XLOOKUP(Q52,'RELAÇÃO DE FORNECEDORES'!$A$3:$A$287,'RELAÇÃO DE FORNECEDORES'!$B$3:$B$287)</f>
        <v>44.829.653/0001-53</v>
      </c>
      <c r="S52" s="45" t="str">
        <f>_xlfn.XLOOKUP(Q52,'RELAÇÃO DE FORNECEDORES'!$A$3:$A$287,'RELAÇÃO DE FORNECEDORES'!$E$3:$E$287)</f>
        <v>ANTÔNIO CANDIDO</v>
      </c>
      <c r="T52" s="49">
        <f>_xlfn.XLOOKUP(Q52,'RELAÇÃO DE FORNECEDORES'!$A$3:$A$287,'RELAÇÃO DE FORNECEDORES'!$C$3:$C$287)</f>
        <v>44547</v>
      </c>
    </row>
    <row r="53" spans="1:20" ht="25.5" x14ac:dyDescent="0.25">
      <c r="A53" s="11">
        <v>6</v>
      </c>
      <c r="B53" s="11" t="s">
        <v>274</v>
      </c>
      <c r="C53" s="14" t="s">
        <v>247</v>
      </c>
      <c r="D53" s="11" t="s">
        <v>4</v>
      </c>
      <c r="E53" s="41">
        <v>5</v>
      </c>
      <c r="F53" s="42">
        <v>6743.93</v>
      </c>
      <c r="G53" s="42">
        <f t="shared" si="30"/>
        <v>33719.65</v>
      </c>
      <c r="H53" s="42">
        <v>5400</v>
      </c>
      <c r="I53" s="42">
        <f t="shared" si="31"/>
        <v>27000</v>
      </c>
      <c r="J53" s="42">
        <v>4890</v>
      </c>
      <c r="K53" s="42">
        <f t="shared" si="32"/>
        <v>24450</v>
      </c>
      <c r="L53" s="42"/>
      <c r="M53" s="73">
        <f t="shared" si="33"/>
        <v>0</v>
      </c>
      <c r="N53" s="42"/>
      <c r="O53" s="42">
        <f t="shared" si="34"/>
        <v>0</v>
      </c>
      <c r="P53" s="52">
        <f t="shared" si="35"/>
        <v>5400</v>
      </c>
      <c r="Q53" s="43" t="str">
        <f t="shared" si="36"/>
        <v>V E GOMES ARAUJO EIRELI (MT SANEAMENTO)</v>
      </c>
      <c r="R53" s="11" t="str">
        <f>_xlfn.XLOOKUP(Q53,'RELAÇÃO DE FORNECEDORES'!$A$3:$A$287,'RELAÇÃO DE FORNECEDORES'!$B$3:$B$287)</f>
        <v>20.775.930/0001-24</v>
      </c>
      <c r="S53" s="11" t="str">
        <f>_xlfn.XLOOKUP(Q53,'RELAÇÃO DE FORNECEDORES'!$A$3:$A$287,'RELAÇÃO DE FORNECEDORES'!$E$3:$E$287)</f>
        <v>VICTOR ARAUJO</v>
      </c>
      <c r="T53" s="44">
        <f>_xlfn.XLOOKUP(Q53,'RELAÇÃO DE FORNECEDORES'!$A$3:$A$287,'RELAÇÃO DE FORNECEDORES'!$C$3:$C$287)</f>
        <v>44547</v>
      </c>
    </row>
    <row r="54" spans="1:20" ht="25.5" x14ac:dyDescent="0.25">
      <c r="A54" s="45">
        <v>7</v>
      </c>
      <c r="B54" s="45" t="s">
        <v>275</v>
      </c>
      <c r="C54" s="46" t="s">
        <v>248</v>
      </c>
      <c r="D54" s="45" t="s">
        <v>4</v>
      </c>
      <c r="E54" s="50">
        <v>1</v>
      </c>
      <c r="F54" s="47">
        <v>1412</v>
      </c>
      <c r="G54" s="47">
        <f t="shared" si="30"/>
        <v>1412</v>
      </c>
      <c r="H54" s="47">
        <v>1900</v>
      </c>
      <c r="I54" s="47">
        <f t="shared" si="31"/>
        <v>1900</v>
      </c>
      <c r="J54" s="47">
        <v>1470.5</v>
      </c>
      <c r="K54" s="47">
        <f t="shared" si="32"/>
        <v>1470.5</v>
      </c>
      <c r="L54" s="47"/>
      <c r="M54" s="59">
        <f t="shared" si="33"/>
        <v>0</v>
      </c>
      <c r="N54" s="47"/>
      <c r="O54" s="47">
        <f t="shared" si="34"/>
        <v>0</v>
      </c>
      <c r="P54" s="54">
        <f t="shared" si="35"/>
        <v>1470.5</v>
      </c>
      <c r="Q54" s="48" t="str">
        <f t="shared" si="36"/>
        <v>DTS SANEAMENTO VÁLVULAS E CONEXÕES LTDA</v>
      </c>
      <c r="R54" s="45" t="str">
        <f>_xlfn.XLOOKUP(Q54,'RELAÇÃO DE FORNECEDORES'!$A$3:$A$287,'RELAÇÃO DE FORNECEDORES'!$B$3:$B$287)</f>
        <v>30.194.330/0001-26</v>
      </c>
      <c r="S54" s="45" t="str">
        <f>_xlfn.XLOOKUP(Q54,'RELAÇÃO DE FORNECEDORES'!$A$3:$A$287,'RELAÇÃO DE FORNECEDORES'!$E$3:$E$287)</f>
        <v>GILVAN MARTINS</v>
      </c>
      <c r="T54" s="49">
        <f>_xlfn.XLOOKUP(Q54,'RELAÇÃO DE FORNECEDORES'!$A$3:$A$287,'RELAÇÃO DE FORNECEDORES'!$C$3:$C$287)</f>
        <v>44546</v>
      </c>
    </row>
    <row r="55" spans="1:20" x14ac:dyDescent="0.25">
      <c r="A55" s="11">
        <v>8</v>
      </c>
      <c r="B55" s="11" t="s">
        <v>276</v>
      </c>
      <c r="C55" s="14" t="s">
        <v>249</v>
      </c>
      <c r="D55" s="11" t="s">
        <v>4</v>
      </c>
      <c r="E55" s="41">
        <v>2</v>
      </c>
      <c r="F55" s="42">
        <v>8818.61</v>
      </c>
      <c r="G55" s="42">
        <f t="shared" si="30"/>
        <v>17637.22</v>
      </c>
      <c r="H55" s="42">
        <v>12000</v>
      </c>
      <c r="I55" s="42">
        <f t="shared" si="31"/>
        <v>24000</v>
      </c>
      <c r="J55" s="42">
        <v>7952</v>
      </c>
      <c r="K55" s="42">
        <f t="shared" si="32"/>
        <v>15904</v>
      </c>
      <c r="L55" s="42"/>
      <c r="M55" s="73">
        <f t="shared" si="33"/>
        <v>0</v>
      </c>
      <c r="N55" s="42"/>
      <c r="O55" s="42">
        <f t="shared" si="34"/>
        <v>0</v>
      </c>
      <c r="P55" s="52">
        <f t="shared" si="35"/>
        <v>8818.61</v>
      </c>
      <c r="Q55" s="43" t="str">
        <f t="shared" si="36"/>
        <v>ANGOLINI &amp; ANGOLINI LTDA</v>
      </c>
      <c r="R55" s="11" t="str">
        <f>_xlfn.XLOOKUP(Q55,'RELAÇÃO DE FORNECEDORES'!$A$3:$A$287,'RELAÇÃO DE FORNECEDORES'!$B$3:$B$287)</f>
        <v>44.829.653/0001-53</v>
      </c>
      <c r="S55" s="11" t="str">
        <f>_xlfn.XLOOKUP(Q55,'RELAÇÃO DE FORNECEDORES'!$A$3:$A$287,'RELAÇÃO DE FORNECEDORES'!$E$3:$E$287)</f>
        <v>ANTÔNIO CANDIDO</v>
      </c>
      <c r="T55" s="44">
        <f>_xlfn.XLOOKUP(Q55,'RELAÇÃO DE FORNECEDORES'!$A$3:$A$287,'RELAÇÃO DE FORNECEDORES'!$C$3:$C$287)</f>
        <v>44547</v>
      </c>
    </row>
    <row r="56" spans="1:20" ht="25.5" x14ac:dyDescent="0.25">
      <c r="A56" s="45">
        <v>9</v>
      </c>
      <c r="B56" s="45" t="s">
        <v>265</v>
      </c>
      <c r="C56" s="46" t="s">
        <v>250</v>
      </c>
      <c r="D56" s="45" t="s">
        <v>4</v>
      </c>
      <c r="E56" s="50">
        <v>3</v>
      </c>
      <c r="F56" s="47">
        <v>2254.08</v>
      </c>
      <c r="G56" s="47">
        <f t="shared" si="30"/>
        <v>6762.24</v>
      </c>
      <c r="H56" s="47">
        <v>2830</v>
      </c>
      <c r="I56" s="47">
        <f t="shared" si="31"/>
        <v>8490</v>
      </c>
      <c r="J56" s="47">
        <v>2345</v>
      </c>
      <c r="K56" s="47">
        <f t="shared" si="32"/>
        <v>7035</v>
      </c>
      <c r="L56" s="47"/>
      <c r="M56" s="59">
        <f t="shared" si="33"/>
        <v>0</v>
      </c>
      <c r="N56" s="47"/>
      <c r="O56" s="47">
        <f t="shared" si="34"/>
        <v>0</v>
      </c>
      <c r="P56" s="54">
        <f t="shared" si="35"/>
        <v>2345</v>
      </c>
      <c r="Q56" s="48" t="str">
        <f t="shared" si="36"/>
        <v>DTS SANEAMENTO VÁLVULAS E CONEXÕES LTDA</v>
      </c>
      <c r="R56" s="45" t="str">
        <f>_xlfn.XLOOKUP(Q56,'RELAÇÃO DE FORNECEDORES'!$A$3:$A$287,'RELAÇÃO DE FORNECEDORES'!$B$3:$B$287)</f>
        <v>30.194.330/0001-26</v>
      </c>
      <c r="S56" s="45" t="str">
        <f>_xlfn.XLOOKUP(Q56,'RELAÇÃO DE FORNECEDORES'!$A$3:$A$287,'RELAÇÃO DE FORNECEDORES'!$E$3:$E$287)</f>
        <v>GILVAN MARTINS</v>
      </c>
      <c r="T56" s="49">
        <f>_xlfn.XLOOKUP(Q56,'RELAÇÃO DE FORNECEDORES'!$A$3:$A$287,'RELAÇÃO DE FORNECEDORES'!$C$3:$C$287)</f>
        <v>44546</v>
      </c>
    </row>
    <row r="57" spans="1:20" ht="25.5" x14ac:dyDescent="0.25">
      <c r="A57" s="11">
        <v>10</v>
      </c>
      <c r="B57" s="11" t="s">
        <v>277</v>
      </c>
      <c r="C57" s="14" t="s">
        <v>182</v>
      </c>
      <c r="D57" s="11" t="s">
        <v>4</v>
      </c>
      <c r="E57" s="41">
        <v>4</v>
      </c>
      <c r="F57" s="42">
        <v>5918.94</v>
      </c>
      <c r="G57" s="42">
        <f t="shared" si="30"/>
        <v>23675.759999999998</v>
      </c>
      <c r="H57" s="42">
        <v>9190</v>
      </c>
      <c r="I57" s="42">
        <f t="shared" si="31"/>
        <v>36760</v>
      </c>
      <c r="J57" s="42">
        <v>6177</v>
      </c>
      <c r="K57" s="42">
        <f t="shared" si="32"/>
        <v>24708</v>
      </c>
      <c r="L57" s="42"/>
      <c r="M57" s="73">
        <f t="shared" si="33"/>
        <v>0</v>
      </c>
      <c r="N57" s="42"/>
      <c r="O57" s="42">
        <f t="shared" si="34"/>
        <v>0</v>
      </c>
      <c r="P57" s="52">
        <f t="shared" si="35"/>
        <v>6177</v>
      </c>
      <c r="Q57" s="43" t="str">
        <f t="shared" si="36"/>
        <v>DTS SANEAMENTO VÁLVULAS E CONEXÕES LTDA</v>
      </c>
      <c r="R57" s="11" t="str">
        <f>_xlfn.XLOOKUP(Q57,'RELAÇÃO DE FORNECEDORES'!$A$3:$A$287,'RELAÇÃO DE FORNECEDORES'!$B$3:$B$287)</f>
        <v>30.194.330/0001-26</v>
      </c>
      <c r="S57" s="11" t="str">
        <f>_xlfn.XLOOKUP(Q57,'RELAÇÃO DE FORNECEDORES'!$A$3:$A$287,'RELAÇÃO DE FORNECEDORES'!$E$3:$E$287)</f>
        <v>GILVAN MARTINS</v>
      </c>
      <c r="T57" s="44">
        <f>_xlfn.XLOOKUP(Q57,'RELAÇÃO DE FORNECEDORES'!$A$3:$A$287,'RELAÇÃO DE FORNECEDORES'!$C$3:$C$287)</f>
        <v>44546</v>
      </c>
    </row>
    <row r="58" spans="1:20" ht="25.5" x14ac:dyDescent="0.25">
      <c r="A58" s="45">
        <v>11</v>
      </c>
      <c r="B58" s="45" t="s">
        <v>278</v>
      </c>
      <c r="C58" s="46" t="s">
        <v>251</v>
      </c>
      <c r="D58" s="45" t="s">
        <v>4</v>
      </c>
      <c r="E58" s="50">
        <v>4</v>
      </c>
      <c r="F58" s="47">
        <v>23032.61</v>
      </c>
      <c r="G58" s="47">
        <f t="shared" si="30"/>
        <v>92130.44</v>
      </c>
      <c r="H58" s="47">
        <v>24500</v>
      </c>
      <c r="I58" s="47">
        <f t="shared" si="31"/>
        <v>98000</v>
      </c>
      <c r="J58" s="47">
        <v>18462</v>
      </c>
      <c r="K58" s="47">
        <f t="shared" si="32"/>
        <v>73848</v>
      </c>
      <c r="L58" s="47"/>
      <c r="M58" s="59">
        <f t="shared" si="33"/>
        <v>0</v>
      </c>
      <c r="N58" s="47"/>
      <c r="O58" s="47">
        <f t="shared" si="34"/>
        <v>0</v>
      </c>
      <c r="P58" s="54">
        <f t="shared" si="35"/>
        <v>23032.61</v>
      </c>
      <c r="Q58" s="48" t="str">
        <f t="shared" si="36"/>
        <v>ANGOLINI &amp; ANGOLINI LTDA</v>
      </c>
      <c r="R58" s="45" t="str">
        <f>_xlfn.XLOOKUP(Q58,'RELAÇÃO DE FORNECEDORES'!$A$3:$A$287,'RELAÇÃO DE FORNECEDORES'!$B$3:$B$287)</f>
        <v>44.829.653/0001-53</v>
      </c>
      <c r="S58" s="45" t="str">
        <f>_xlfn.XLOOKUP(Q58,'RELAÇÃO DE FORNECEDORES'!$A$3:$A$287,'RELAÇÃO DE FORNECEDORES'!$E$3:$E$287)</f>
        <v>ANTÔNIO CANDIDO</v>
      </c>
      <c r="T58" s="49">
        <f>_xlfn.XLOOKUP(Q58,'RELAÇÃO DE FORNECEDORES'!$A$3:$A$287,'RELAÇÃO DE FORNECEDORES'!$C$3:$C$287)</f>
        <v>44547</v>
      </c>
    </row>
    <row r="59" spans="1:20" ht="25.5" x14ac:dyDescent="0.25">
      <c r="A59" s="11">
        <v>12</v>
      </c>
      <c r="B59" s="11" t="s">
        <v>279</v>
      </c>
      <c r="C59" s="14" t="s">
        <v>183</v>
      </c>
      <c r="D59" s="11" t="s">
        <v>4</v>
      </c>
      <c r="E59" s="41">
        <v>2</v>
      </c>
      <c r="F59" s="42">
        <v>5065.88</v>
      </c>
      <c r="G59" s="42">
        <f t="shared" si="30"/>
        <v>10131.76</v>
      </c>
      <c r="H59" s="42">
        <v>3570</v>
      </c>
      <c r="I59" s="42">
        <f t="shared" si="31"/>
        <v>7140</v>
      </c>
      <c r="J59" s="42">
        <v>4622</v>
      </c>
      <c r="K59" s="42">
        <f t="shared" si="32"/>
        <v>9244</v>
      </c>
      <c r="L59" s="42"/>
      <c r="M59" s="73">
        <f t="shared" si="33"/>
        <v>0</v>
      </c>
      <c r="N59" s="42"/>
      <c r="O59" s="42">
        <f t="shared" si="34"/>
        <v>0</v>
      </c>
      <c r="P59" s="52">
        <f t="shared" si="35"/>
        <v>4622</v>
      </c>
      <c r="Q59" s="43" t="str">
        <f t="shared" si="36"/>
        <v>DTS SANEAMENTO VÁLVULAS E CONEXÕES LTDA</v>
      </c>
      <c r="R59" s="11" t="str">
        <f>_xlfn.XLOOKUP(Q59,'RELAÇÃO DE FORNECEDORES'!$A$3:$A$287,'RELAÇÃO DE FORNECEDORES'!$B$3:$B$287)</f>
        <v>30.194.330/0001-26</v>
      </c>
      <c r="S59" s="11" t="str">
        <f>_xlfn.XLOOKUP(Q59,'RELAÇÃO DE FORNECEDORES'!$A$3:$A$287,'RELAÇÃO DE FORNECEDORES'!$E$3:$E$287)</f>
        <v>GILVAN MARTINS</v>
      </c>
      <c r="T59" s="44">
        <f>_xlfn.XLOOKUP(Q59,'RELAÇÃO DE FORNECEDORES'!$A$3:$A$287,'RELAÇÃO DE FORNECEDORES'!$C$3:$C$287)</f>
        <v>44546</v>
      </c>
    </row>
    <row r="60" spans="1:20" ht="25.5" x14ac:dyDescent="0.25">
      <c r="A60" s="45">
        <v>13</v>
      </c>
      <c r="B60" s="45" t="s">
        <v>280</v>
      </c>
      <c r="C60" s="46" t="s">
        <v>252</v>
      </c>
      <c r="D60" s="45" t="s">
        <v>4</v>
      </c>
      <c r="E60" s="50">
        <v>2</v>
      </c>
      <c r="F60" s="47">
        <v>2983.88</v>
      </c>
      <c r="G60" s="47">
        <f t="shared" si="30"/>
        <v>5967.76</v>
      </c>
      <c r="H60" s="47">
        <v>3110</v>
      </c>
      <c r="I60" s="47">
        <f t="shared" si="31"/>
        <v>6220</v>
      </c>
      <c r="J60" s="47">
        <v>4189</v>
      </c>
      <c r="K60" s="47">
        <f t="shared" si="32"/>
        <v>8378</v>
      </c>
      <c r="L60" s="47"/>
      <c r="M60" s="59">
        <f t="shared" si="33"/>
        <v>0</v>
      </c>
      <c r="N60" s="47"/>
      <c r="O60" s="47">
        <f t="shared" si="34"/>
        <v>0</v>
      </c>
      <c r="P60" s="54">
        <f t="shared" si="35"/>
        <v>3110</v>
      </c>
      <c r="Q60" s="48" t="str">
        <f t="shared" si="36"/>
        <v>V E GOMES ARAUJO EIRELI (MT SANEAMENTO)</v>
      </c>
      <c r="R60" s="45" t="str">
        <f>_xlfn.XLOOKUP(Q60,'RELAÇÃO DE FORNECEDORES'!$A$3:$A$287,'RELAÇÃO DE FORNECEDORES'!$B$3:$B$287)</f>
        <v>20.775.930/0001-24</v>
      </c>
      <c r="S60" s="45" t="str">
        <f>_xlfn.XLOOKUP(Q60,'RELAÇÃO DE FORNECEDORES'!$A$3:$A$287,'RELAÇÃO DE FORNECEDORES'!$E$3:$E$287)</f>
        <v>VICTOR ARAUJO</v>
      </c>
      <c r="T60" s="49">
        <f>_xlfn.XLOOKUP(Q60,'RELAÇÃO DE FORNECEDORES'!$A$3:$A$287,'RELAÇÃO DE FORNECEDORES'!$C$3:$C$287)</f>
        <v>44547</v>
      </c>
    </row>
    <row r="61" spans="1:20" ht="25.5" x14ac:dyDescent="0.25">
      <c r="A61" s="11">
        <v>14</v>
      </c>
      <c r="B61" s="11" t="s">
        <v>281</v>
      </c>
      <c r="C61" s="14" t="s">
        <v>253</v>
      </c>
      <c r="D61" s="11" t="s">
        <v>4</v>
      </c>
      <c r="E61" s="41">
        <v>2</v>
      </c>
      <c r="F61" s="42">
        <v>1836.7</v>
      </c>
      <c r="G61" s="42">
        <f t="shared" si="30"/>
        <v>3673.4</v>
      </c>
      <c r="H61" s="42">
        <v>2100</v>
      </c>
      <c r="I61" s="42">
        <f t="shared" si="31"/>
        <v>4200</v>
      </c>
      <c r="J61" s="42">
        <v>1912.9</v>
      </c>
      <c r="K61" s="42">
        <f t="shared" si="32"/>
        <v>3825.8</v>
      </c>
      <c r="L61" s="42"/>
      <c r="M61" s="73">
        <f t="shared" si="33"/>
        <v>0</v>
      </c>
      <c r="N61" s="42"/>
      <c r="O61" s="42">
        <f t="shared" si="34"/>
        <v>0</v>
      </c>
      <c r="P61" s="52">
        <f t="shared" si="35"/>
        <v>1912.9</v>
      </c>
      <c r="Q61" s="43" t="str">
        <f t="shared" si="36"/>
        <v>DTS SANEAMENTO VÁLVULAS E CONEXÕES LTDA</v>
      </c>
      <c r="R61" s="11" t="str">
        <f>_xlfn.XLOOKUP(Q61,'RELAÇÃO DE FORNECEDORES'!$A$3:$A$287,'RELAÇÃO DE FORNECEDORES'!$B$3:$B$287)</f>
        <v>30.194.330/0001-26</v>
      </c>
      <c r="S61" s="11" t="str">
        <f>_xlfn.XLOOKUP(Q61,'RELAÇÃO DE FORNECEDORES'!$A$3:$A$287,'RELAÇÃO DE FORNECEDORES'!$E$3:$E$287)</f>
        <v>GILVAN MARTINS</v>
      </c>
      <c r="T61" s="44">
        <f>_xlfn.XLOOKUP(Q61,'RELAÇÃO DE FORNECEDORES'!$A$3:$A$287,'RELAÇÃO DE FORNECEDORES'!$C$3:$C$287)</f>
        <v>44546</v>
      </c>
    </row>
    <row r="62" spans="1:20" ht="25.5" x14ac:dyDescent="0.25">
      <c r="A62" s="45">
        <v>15</v>
      </c>
      <c r="B62" s="45" t="s">
        <v>282</v>
      </c>
      <c r="C62" s="46" t="s">
        <v>254</v>
      </c>
      <c r="D62" s="45" t="s">
        <v>4</v>
      </c>
      <c r="E62" s="50">
        <v>1</v>
      </c>
      <c r="F62" s="47">
        <v>5787.14</v>
      </c>
      <c r="G62" s="47">
        <f t="shared" si="30"/>
        <v>5787.14</v>
      </c>
      <c r="H62" s="47">
        <v>9450</v>
      </c>
      <c r="I62" s="47">
        <f t="shared" si="31"/>
        <v>9450</v>
      </c>
      <c r="J62" s="47">
        <v>6015</v>
      </c>
      <c r="K62" s="47">
        <f t="shared" si="32"/>
        <v>6015</v>
      </c>
      <c r="L62" s="47"/>
      <c r="M62" s="59">
        <f t="shared" si="33"/>
        <v>0</v>
      </c>
      <c r="N62" s="47"/>
      <c r="O62" s="47">
        <f t="shared" si="34"/>
        <v>0</v>
      </c>
      <c r="P62" s="54">
        <f t="shared" si="35"/>
        <v>6015</v>
      </c>
      <c r="Q62" s="48" t="str">
        <f t="shared" si="36"/>
        <v>DTS SANEAMENTO VÁLVULAS E CONEXÕES LTDA</v>
      </c>
      <c r="R62" s="45" t="str">
        <f>_xlfn.XLOOKUP(Q62,'RELAÇÃO DE FORNECEDORES'!$A$3:$A$287,'RELAÇÃO DE FORNECEDORES'!$B$3:$B$287)</f>
        <v>30.194.330/0001-26</v>
      </c>
      <c r="S62" s="45" t="str">
        <f>_xlfn.XLOOKUP(Q62,'RELAÇÃO DE FORNECEDORES'!$A$3:$A$287,'RELAÇÃO DE FORNECEDORES'!$E$3:$E$287)</f>
        <v>GILVAN MARTINS</v>
      </c>
      <c r="T62" s="49">
        <f>_xlfn.XLOOKUP(Q62,'RELAÇÃO DE FORNECEDORES'!$A$3:$A$287,'RELAÇÃO DE FORNECEDORES'!$C$3:$C$287)</f>
        <v>44546</v>
      </c>
    </row>
    <row r="63" spans="1:20" x14ac:dyDescent="0.25">
      <c r="A63" s="11">
        <v>16</v>
      </c>
      <c r="B63" s="11" t="s">
        <v>283</v>
      </c>
      <c r="C63" s="14" t="s">
        <v>255</v>
      </c>
      <c r="D63" s="11" t="s">
        <v>4</v>
      </c>
      <c r="E63" s="41">
        <v>4</v>
      </c>
      <c r="F63" s="42">
        <v>3832.06</v>
      </c>
      <c r="G63" s="42">
        <f t="shared" si="30"/>
        <v>15328.24</v>
      </c>
      <c r="H63" s="42">
        <v>7350</v>
      </c>
      <c r="I63" s="42">
        <f t="shared" si="31"/>
        <v>29400</v>
      </c>
      <c r="J63" s="42">
        <v>3045</v>
      </c>
      <c r="K63" s="42">
        <f t="shared" si="32"/>
        <v>12180</v>
      </c>
      <c r="L63" s="42"/>
      <c r="M63" s="73">
        <f t="shared" si="33"/>
        <v>0</v>
      </c>
      <c r="N63" s="42"/>
      <c r="O63" s="42">
        <f t="shared" si="34"/>
        <v>0</v>
      </c>
      <c r="P63" s="52">
        <f t="shared" si="35"/>
        <v>3832.06</v>
      </c>
      <c r="Q63" s="43" t="str">
        <f t="shared" si="36"/>
        <v>ANGOLINI &amp; ANGOLINI LTDA</v>
      </c>
      <c r="R63" s="11" t="str">
        <f>_xlfn.XLOOKUP(Q63,'RELAÇÃO DE FORNECEDORES'!$A$3:$A$287,'RELAÇÃO DE FORNECEDORES'!$B$3:$B$287)</f>
        <v>44.829.653/0001-53</v>
      </c>
      <c r="S63" s="11" t="str">
        <f>_xlfn.XLOOKUP(Q63,'RELAÇÃO DE FORNECEDORES'!$A$3:$A$287,'RELAÇÃO DE FORNECEDORES'!$E$3:$E$287)</f>
        <v>ANTÔNIO CANDIDO</v>
      </c>
      <c r="T63" s="44">
        <f>_xlfn.XLOOKUP(Q63,'RELAÇÃO DE FORNECEDORES'!$A$3:$A$287,'RELAÇÃO DE FORNECEDORES'!$C$3:$C$287)</f>
        <v>44547</v>
      </c>
    </row>
    <row r="64" spans="1:20" ht="25.5" x14ac:dyDescent="0.25">
      <c r="A64" s="45">
        <v>17</v>
      </c>
      <c r="B64" s="45" t="s">
        <v>284</v>
      </c>
      <c r="C64" s="46" t="s">
        <v>256</v>
      </c>
      <c r="D64" s="45" t="s">
        <v>4</v>
      </c>
      <c r="E64" s="50">
        <v>2</v>
      </c>
      <c r="F64" s="47">
        <v>2872.82</v>
      </c>
      <c r="G64" s="47">
        <f t="shared" si="30"/>
        <v>5745.64</v>
      </c>
      <c r="H64" s="47">
        <v>2840</v>
      </c>
      <c r="I64" s="47">
        <f t="shared" si="31"/>
        <v>5680</v>
      </c>
      <c r="J64" s="47">
        <v>2275</v>
      </c>
      <c r="K64" s="47">
        <f t="shared" si="32"/>
        <v>4550</v>
      </c>
      <c r="L64" s="47"/>
      <c r="M64" s="59">
        <f t="shared" si="33"/>
        <v>0</v>
      </c>
      <c r="N64" s="47"/>
      <c r="O64" s="47">
        <f t="shared" si="34"/>
        <v>0</v>
      </c>
      <c r="P64" s="54">
        <f t="shared" si="35"/>
        <v>2840</v>
      </c>
      <c r="Q64" s="48" t="str">
        <f t="shared" si="36"/>
        <v>V E GOMES ARAUJO EIRELI (MT SANEAMENTO)</v>
      </c>
      <c r="R64" s="45" t="str">
        <f>_xlfn.XLOOKUP(Q64,'RELAÇÃO DE FORNECEDORES'!$A$3:$A$287,'RELAÇÃO DE FORNECEDORES'!$B$3:$B$287)</f>
        <v>20.775.930/0001-24</v>
      </c>
      <c r="S64" s="45" t="str">
        <f>_xlfn.XLOOKUP(Q64,'RELAÇÃO DE FORNECEDORES'!$A$3:$A$287,'RELAÇÃO DE FORNECEDORES'!$E$3:$E$287)</f>
        <v>VICTOR ARAUJO</v>
      </c>
      <c r="T64" s="49">
        <f>_xlfn.XLOOKUP(Q64,'RELAÇÃO DE FORNECEDORES'!$A$3:$A$287,'RELAÇÃO DE FORNECEDORES'!$C$3:$C$287)</f>
        <v>44547</v>
      </c>
    </row>
    <row r="65" spans="1:20" x14ac:dyDescent="0.25">
      <c r="A65" s="11">
        <v>18</v>
      </c>
      <c r="B65" s="11" t="s">
        <v>266</v>
      </c>
      <c r="C65" s="14" t="s">
        <v>257</v>
      </c>
      <c r="D65" s="11" t="s">
        <v>4</v>
      </c>
      <c r="E65" s="41">
        <v>3</v>
      </c>
      <c r="F65" s="42">
        <v>4830.34</v>
      </c>
      <c r="G65" s="42">
        <f t="shared" si="30"/>
        <v>14491.02</v>
      </c>
      <c r="H65" s="42">
        <v>4650</v>
      </c>
      <c r="I65" s="42">
        <f t="shared" si="31"/>
        <v>13950</v>
      </c>
      <c r="J65" s="42">
        <v>5140</v>
      </c>
      <c r="K65" s="42">
        <f t="shared" si="32"/>
        <v>15420</v>
      </c>
      <c r="L65" s="42"/>
      <c r="M65" s="73">
        <f t="shared" si="33"/>
        <v>0</v>
      </c>
      <c r="N65" s="42"/>
      <c r="O65" s="42">
        <f t="shared" si="34"/>
        <v>0</v>
      </c>
      <c r="P65" s="52">
        <f t="shared" si="35"/>
        <v>4830.34</v>
      </c>
      <c r="Q65" s="43" t="str">
        <f t="shared" si="36"/>
        <v>ANGOLINI &amp; ANGOLINI LTDA</v>
      </c>
      <c r="R65" s="11" t="str">
        <f>_xlfn.XLOOKUP(Q65,'RELAÇÃO DE FORNECEDORES'!$A$3:$A$287,'RELAÇÃO DE FORNECEDORES'!$B$3:$B$287)</f>
        <v>44.829.653/0001-53</v>
      </c>
      <c r="S65" s="11" t="str">
        <f>_xlfn.XLOOKUP(Q65,'RELAÇÃO DE FORNECEDORES'!$A$3:$A$287,'RELAÇÃO DE FORNECEDORES'!$E$3:$E$287)</f>
        <v>ANTÔNIO CANDIDO</v>
      </c>
      <c r="T65" s="44">
        <f>_xlfn.XLOOKUP(Q65,'RELAÇÃO DE FORNECEDORES'!$A$3:$A$287,'RELAÇÃO DE FORNECEDORES'!$C$3:$C$287)</f>
        <v>44547</v>
      </c>
    </row>
    <row r="66" spans="1:20" ht="25.5" x14ac:dyDescent="0.25">
      <c r="A66" s="45">
        <v>19</v>
      </c>
      <c r="B66" s="11" t="s">
        <v>285</v>
      </c>
      <c r="C66" s="46" t="s">
        <v>258</v>
      </c>
      <c r="D66" s="45" t="s">
        <v>4</v>
      </c>
      <c r="E66" s="50">
        <v>4</v>
      </c>
      <c r="F66" s="47">
        <v>1826.94</v>
      </c>
      <c r="G66" s="47">
        <f t="shared" si="30"/>
        <v>7307.76</v>
      </c>
      <c r="H66" s="47">
        <v>2600</v>
      </c>
      <c r="I66" s="47">
        <f t="shared" si="31"/>
        <v>10400</v>
      </c>
      <c r="J66" s="47">
        <v>1902.6</v>
      </c>
      <c r="K66" s="47">
        <f t="shared" si="32"/>
        <v>7610.4</v>
      </c>
      <c r="L66" s="47"/>
      <c r="M66" s="59">
        <f t="shared" si="33"/>
        <v>0</v>
      </c>
      <c r="N66" s="47"/>
      <c r="O66" s="47">
        <f t="shared" si="34"/>
        <v>0</v>
      </c>
      <c r="P66" s="54">
        <f t="shared" si="35"/>
        <v>1902.6</v>
      </c>
      <c r="Q66" s="48" t="str">
        <f t="shared" si="36"/>
        <v>DTS SANEAMENTO VÁLVULAS E CONEXÕES LTDA</v>
      </c>
      <c r="R66" s="45" t="str">
        <f>_xlfn.XLOOKUP(Q66,'RELAÇÃO DE FORNECEDORES'!$A$3:$A$287,'RELAÇÃO DE FORNECEDORES'!$B$3:$B$287)</f>
        <v>30.194.330/0001-26</v>
      </c>
      <c r="S66" s="45" t="str">
        <f>_xlfn.XLOOKUP(Q66,'RELAÇÃO DE FORNECEDORES'!$A$3:$A$287,'RELAÇÃO DE FORNECEDORES'!$E$3:$E$287)</f>
        <v>GILVAN MARTINS</v>
      </c>
      <c r="T66" s="49">
        <f>_xlfn.XLOOKUP(Q66,'RELAÇÃO DE FORNECEDORES'!$A$3:$A$287,'RELAÇÃO DE FORNECEDORES'!$C$3:$C$287)</f>
        <v>44546</v>
      </c>
    </row>
    <row r="67" spans="1:20" ht="25.5" x14ac:dyDescent="0.25">
      <c r="A67" s="11">
        <v>20</v>
      </c>
      <c r="B67" s="11" t="s">
        <v>286</v>
      </c>
      <c r="C67" s="14" t="s">
        <v>259</v>
      </c>
      <c r="D67" s="11" t="s">
        <v>4</v>
      </c>
      <c r="E67" s="41">
        <v>1</v>
      </c>
      <c r="F67" s="42">
        <v>2697.08</v>
      </c>
      <c r="G67" s="42">
        <f t="shared" si="30"/>
        <v>2697.08</v>
      </c>
      <c r="H67" s="42">
        <v>3600</v>
      </c>
      <c r="I67" s="42">
        <f t="shared" si="31"/>
        <v>3600</v>
      </c>
      <c r="J67" s="42">
        <v>2806.9</v>
      </c>
      <c r="K67" s="42">
        <f t="shared" si="32"/>
        <v>2806.9</v>
      </c>
      <c r="L67" s="42"/>
      <c r="M67" s="73">
        <f t="shared" si="33"/>
        <v>0</v>
      </c>
      <c r="N67" s="42"/>
      <c r="O67" s="42">
        <f t="shared" si="34"/>
        <v>0</v>
      </c>
      <c r="P67" s="52">
        <f t="shared" si="35"/>
        <v>2806.9</v>
      </c>
      <c r="Q67" s="43" t="str">
        <f t="shared" si="36"/>
        <v>DTS SANEAMENTO VÁLVULAS E CONEXÕES LTDA</v>
      </c>
      <c r="R67" s="11" t="str">
        <f>_xlfn.XLOOKUP(Q67,'RELAÇÃO DE FORNECEDORES'!$A$3:$A$287,'RELAÇÃO DE FORNECEDORES'!$B$3:$B$287)</f>
        <v>30.194.330/0001-26</v>
      </c>
      <c r="S67" s="11" t="str">
        <f>_xlfn.XLOOKUP(Q67,'RELAÇÃO DE FORNECEDORES'!$A$3:$A$287,'RELAÇÃO DE FORNECEDORES'!$E$3:$E$287)</f>
        <v>GILVAN MARTINS</v>
      </c>
      <c r="T67" s="44">
        <f>_xlfn.XLOOKUP(Q67,'RELAÇÃO DE FORNECEDORES'!$A$3:$A$287,'RELAÇÃO DE FORNECEDORES'!$C$3:$C$287)</f>
        <v>44546</v>
      </c>
    </row>
    <row r="68" spans="1:20" x14ac:dyDescent="0.25">
      <c r="A68" s="45">
        <v>21</v>
      </c>
      <c r="B68" s="11" t="s">
        <v>287</v>
      </c>
      <c r="C68" s="46" t="s">
        <v>260</v>
      </c>
      <c r="D68" s="45" t="s">
        <v>4</v>
      </c>
      <c r="E68" s="50">
        <v>3</v>
      </c>
      <c r="F68" s="47">
        <v>63.7</v>
      </c>
      <c r="G68" s="47">
        <f t="shared" si="30"/>
        <v>191.10000000000002</v>
      </c>
      <c r="H68" s="47">
        <v>48</v>
      </c>
      <c r="I68" s="47">
        <f t="shared" si="31"/>
        <v>144</v>
      </c>
      <c r="J68" s="47">
        <v>68</v>
      </c>
      <c r="K68" s="47">
        <f t="shared" si="32"/>
        <v>204</v>
      </c>
      <c r="L68" s="47"/>
      <c r="M68" s="59">
        <f t="shared" si="33"/>
        <v>0</v>
      </c>
      <c r="N68" s="47"/>
      <c r="O68" s="47">
        <f t="shared" si="34"/>
        <v>0</v>
      </c>
      <c r="P68" s="54">
        <f t="shared" si="35"/>
        <v>63.7</v>
      </c>
      <c r="Q68" s="48" t="str">
        <f t="shared" si="36"/>
        <v>ANGOLINI &amp; ANGOLINI LTDA</v>
      </c>
      <c r="R68" s="45" t="str">
        <f>_xlfn.XLOOKUP(Q68,'RELAÇÃO DE FORNECEDORES'!$A$3:$A$287,'RELAÇÃO DE FORNECEDORES'!$B$3:$B$287)</f>
        <v>44.829.653/0001-53</v>
      </c>
      <c r="S68" s="45" t="str">
        <f>_xlfn.XLOOKUP(Q68,'RELAÇÃO DE FORNECEDORES'!$A$3:$A$287,'RELAÇÃO DE FORNECEDORES'!$E$3:$E$287)</f>
        <v>ANTÔNIO CANDIDO</v>
      </c>
      <c r="T68" s="49">
        <f>_xlfn.XLOOKUP(Q68,'RELAÇÃO DE FORNECEDORES'!$A$3:$A$287,'RELAÇÃO DE FORNECEDORES'!$C$3:$C$287)</f>
        <v>44547</v>
      </c>
    </row>
    <row r="69" spans="1:20" x14ac:dyDescent="0.25">
      <c r="A69" s="11">
        <v>22</v>
      </c>
      <c r="B69" s="11" t="s">
        <v>288</v>
      </c>
      <c r="C69" s="14" t="s">
        <v>261</v>
      </c>
      <c r="D69" s="11" t="s">
        <v>4</v>
      </c>
      <c r="E69" s="41">
        <v>23</v>
      </c>
      <c r="F69" s="42">
        <v>29.11</v>
      </c>
      <c r="G69" s="42">
        <f t="shared" si="30"/>
        <v>669.53</v>
      </c>
      <c r="H69" s="42">
        <v>24</v>
      </c>
      <c r="I69" s="42">
        <f t="shared" si="31"/>
        <v>552</v>
      </c>
      <c r="J69" s="42">
        <v>42</v>
      </c>
      <c r="K69" s="42">
        <f t="shared" si="32"/>
        <v>966</v>
      </c>
      <c r="L69" s="42"/>
      <c r="M69" s="73">
        <f t="shared" si="33"/>
        <v>0</v>
      </c>
      <c r="N69" s="42"/>
      <c r="O69" s="42">
        <f t="shared" si="34"/>
        <v>0</v>
      </c>
      <c r="P69" s="52">
        <f t="shared" si="35"/>
        <v>29.11</v>
      </c>
      <c r="Q69" s="43" t="str">
        <f t="shared" si="36"/>
        <v>ANGOLINI &amp; ANGOLINI LTDA</v>
      </c>
      <c r="R69" s="11" t="str">
        <f>_xlfn.XLOOKUP(Q69,'RELAÇÃO DE FORNECEDORES'!$A$3:$A$287,'RELAÇÃO DE FORNECEDORES'!$B$3:$B$287)</f>
        <v>44.829.653/0001-53</v>
      </c>
      <c r="S69" s="11" t="str">
        <f>_xlfn.XLOOKUP(Q69,'RELAÇÃO DE FORNECEDORES'!$A$3:$A$287,'RELAÇÃO DE FORNECEDORES'!$E$3:$E$287)</f>
        <v>ANTÔNIO CANDIDO</v>
      </c>
      <c r="T69" s="44">
        <f>_xlfn.XLOOKUP(Q69,'RELAÇÃO DE FORNECEDORES'!$A$3:$A$287,'RELAÇÃO DE FORNECEDORES'!$C$3:$C$287)</f>
        <v>44547</v>
      </c>
    </row>
    <row r="70" spans="1:20" ht="25.5" x14ac:dyDescent="0.25">
      <c r="A70" s="45">
        <v>23</v>
      </c>
      <c r="B70" s="11" t="s">
        <v>289</v>
      </c>
      <c r="C70" s="46" t="s">
        <v>195</v>
      </c>
      <c r="D70" s="45" t="s">
        <v>4</v>
      </c>
      <c r="E70" s="50">
        <v>4</v>
      </c>
      <c r="F70" s="47">
        <v>13.36</v>
      </c>
      <c r="G70" s="47">
        <f t="shared" si="30"/>
        <v>53.44</v>
      </c>
      <c r="H70" s="47">
        <v>13</v>
      </c>
      <c r="I70" s="47">
        <f t="shared" si="31"/>
        <v>52</v>
      </c>
      <c r="J70" s="47">
        <v>12.6</v>
      </c>
      <c r="K70" s="47">
        <f t="shared" si="32"/>
        <v>50.4</v>
      </c>
      <c r="L70" s="47"/>
      <c r="M70" s="59">
        <f t="shared" si="33"/>
        <v>0</v>
      </c>
      <c r="N70" s="47"/>
      <c r="O70" s="47">
        <f t="shared" si="34"/>
        <v>0</v>
      </c>
      <c r="P70" s="54">
        <f t="shared" si="35"/>
        <v>13</v>
      </c>
      <c r="Q70" s="48" t="str">
        <f t="shared" si="36"/>
        <v>V E GOMES ARAUJO EIRELI (MT SANEAMENTO)</v>
      </c>
      <c r="R70" s="45" t="str">
        <f>_xlfn.XLOOKUP(Q70,'RELAÇÃO DE FORNECEDORES'!$A$3:$A$287,'RELAÇÃO DE FORNECEDORES'!$B$3:$B$287)</f>
        <v>20.775.930/0001-24</v>
      </c>
      <c r="S70" s="45" t="str">
        <f>_xlfn.XLOOKUP(Q70,'RELAÇÃO DE FORNECEDORES'!$A$3:$A$287,'RELAÇÃO DE FORNECEDORES'!$E$3:$E$287)</f>
        <v>VICTOR ARAUJO</v>
      </c>
      <c r="T70" s="49">
        <f>_xlfn.XLOOKUP(Q70,'RELAÇÃO DE FORNECEDORES'!$A$3:$A$287,'RELAÇÃO DE FORNECEDORES'!$C$3:$C$287)</f>
        <v>44547</v>
      </c>
    </row>
    <row r="71" spans="1:20" x14ac:dyDescent="0.25">
      <c r="A71" s="11">
        <v>24</v>
      </c>
      <c r="B71" s="11" t="s">
        <v>290</v>
      </c>
      <c r="C71" s="14" t="s">
        <v>262</v>
      </c>
      <c r="D71" s="11" t="s">
        <v>4</v>
      </c>
      <c r="E71" s="41">
        <v>60</v>
      </c>
      <c r="F71" s="42">
        <v>51.5</v>
      </c>
      <c r="G71" s="42">
        <f t="shared" si="30"/>
        <v>3090</v>
      </c>
      <c r="H71" s="42">
        <v>62</v>
      </c>
      <c r="I71" s="42">
        <f t="shared" si="31"/>
        <v>3720</v>
      </c>
      <c r="J71" s="42">
        <v>36</v>
      </c>
      <c r="K71" s="42">
        <f t="shared" si="32"/>
        <v>2160</v>
      </c>
      <c r="L71" s="42"/>
      <c r="M71" s="73">
        <f t="shared" si="33"/>
        <v>0</v>
      </c>
      <c r="N71" s="42"/>
      <c r="O71" s="42">
        <f t="shared" si="34"/>
        <v>0</v>
      </c>
      <c r="P71" s="52">
        <f t="shared" si="35"/>
        <v>51.5</v>
      </c>
      <c r="Q71" s="43" t="str">
        <f t="shared" si="36"/>
        <v>ANGOLINI &amp; ANGOLINI LTDA</v>
      </c>
      <c r="R71" s="11" t="str">
        <f>_xlfn.XLOOKUP(Q71,'RELAÇÃO DE FORNECEDORES'!$A$3:$A$287,'RELAÇÃO DE FORNECEDORES'!$B$3:$B$287)</f>
        <v>44.829.653/0001-53</v>
      </c>
      <c r="S71" s="11" t="str">
        <f>_xlfn.XLOOKUP(Q71,'RELAÇÃO DE FORNECEDORES'!$A$3:$A$287,'RELAÇÃO DE FORNECEDORES'!$E$3:$E$287)</f>
        <v>ANTÔNIO CANDIDO</v>
      </c>
      <c r="T71" s="44">
        <f>_xlfn.XLOOKUP(Q71,'RELAÇÃO DE FORNECEDORES'!$A$3:$A$287,'RELAÇÃO DE FORNECEDORES'!$C$3:$C$287)</f>
        <v>44547</v>
      </c>
    </row>
    <row r="72" spans="1:20" x14ac:dyDescent="0.25">
      <c r="A72" s="45">
        <v>25</v>
      </c>
      <c r="B72" s="11" t="s">
        <v>291</v>
      </c>
      <c r="C72" s="46" t="s">
        <v>263</v>
      </c>
      <c r="D72" s="45" t="s">
        <v>4</v>
      </c>
      <c r="E72" s="50">
        <v>368</v>
      </c>
      <c r="F72" s="47">
        <v>32.71</v>
      </c>
      <c r="G72" s="47">
        <f t="shared" si="30"/>
        <v>12037.28</v>
      </c>
      <c r="H72" s="47">
        <v>36</v>
      </c>
      <c r="I72" s="47">
        <f t="shared" si="31"/>
        <v>13248</v>
      </c>
      <c r="J72" s="47">
        <v>28</v>
      </c>
      <c r="K72" s="47">
        <f t="shared" si="32"/>
        <v>10304</v>
      </c>
      <c r="L72" s="47"/>
      <c r="M72" s="59">
        <f t="shared" si="33"/>
        <v>0</v>
      </c>
      <c r="N72" s="47"/>
      <c r="O72" s="47">
        <f t="shared" si="34"/>
        <v>0</v>
      </c>
      <c r="P72" s="54">
        <f t="shared" si="35"/>
        <v>32.71</v>
      </c>
      <c r="Q72" s="48" t="str">
        <f t="shared" si="36"/>
        <v>ANGOLINI &amp; ANGOLINI LTDA</v>
      </c>
      <c r="R72" s="45" t="str">
        <f>_xlfn.XLOOKUP(Q72,'RELAÇÃO DE FORNECEDORES'!$A$3:$A$287,'RELAÇÃO DE FORNECEDORES'!$B$3:$B$287)</f>
        <v>44.829.653/0001-53</v>
      </c>
      <c r="S72" s="45" t="str">
        <f>_xlfn.XLOOKUP(Q72,'RELAÇÃO DE FORNECEDORES'!$A$3:$A$287,'RELAÇÃO DE FORNECEDORES'!$E$3:$E$287)</f>
        <v>ANTÔNIO CANDIDO</v>
      </c>
      <c r="T72" s="49">
        <f>_xlfn.XLOOKUP(Q72,'RELAÇÃO DE FORNECEDORES'!$A$3:$A$287,'RELAÇÃO DE FORNECEDORES'!$C$3:$C$287)</f>
        <v>44547</v>
      </c>
    </row>
    <row r="73" spans="1:20" ht="25.5" x14ac:dyDescent="0.25">
      <c r="A73" s="30">
        <v>26</v>
      </c>
      <c r="B73" s="11" t="s">
        <v>292</v>
      </c>
      <c r="C73" s="31" t="s">
        <v>264</v>
      </c>
      <c r="D73" s="30" t="s">
        <v>4</v>
      </c>
      <c r="E73" s="55">
        <v>48</v>
      </c>
      <c r="F73" s="56">
        <v>19.53</v>
      </c>
      <c r="G73" s="56">
        <f t="shared" si="30"/>
        <v>937.44</v>
      </c>
      <c r="H73" s="56">
        <v>27</v>
      </c>
      <c r="I73" s="56">
        <f t="shared" si="31"/>
        <v>1296</v>
      </c>
      <c r="J73" s="56">
        <v>19.8</v>
      </c>
      <c r="K73" s="56">
        <f t="shared" si="32"/>
        <v>950.40000000000009</v>
      </c>
      <c r="L73" s="56"/>
      <c r="M73" s="57">
        <f t="shared" si="33"/>
        <v>0</v>
      </c>
      <c r="N73" s="56"/>
      <c r="O73" s="56">
        <f t="shared" si="34"/>
        <v>0</v>
      </c>
      <c r="P73" s="58">
        <f t="shared" si="35"/>
        <v>19.8</v>
      </c>
      <c r="Q73" s="32" t="str">
        <f t="shared" si="36"/>
        <v>DTS SANEAMENTO VÁLVULAS E CONEXÕES LTDA</v>
      </c>
      <c r="R73" s="30" t="str">
        <f>_xlfn.XLOOKUP(Q73,'RELAÇÃO DE FORNECEDORES'!$A$3:$A$287,'RELAÇÃO DE FORNECEDORES'!$B$3:$B$287)</f>
        <v>30.194.330/0001-26</v>
      </c>
      <c r="S73" s="30" t="str">
        <f>_xlfn.XLOOKUP(Q73,'RELAÇÃO DE FORNECEDORES'!$A$3:$A$287,'RELAÇÃO DE FORNECEDORES'!$E$3:$E$287)</f>
        <v>GILVAN MARTINS</v>
      </c>
      <c r="T73" s="33">
        <f>_xlfn.XLOOKUP(Q73,'RELAÇÃO DE FORNECEDORES'!$A$3:$A$287,'RELAÇÃO DE FORNECEDORES'!$C$3:$C$287)</f>
        <v>44546</v>
      </c>
    </row>
    <row r="74" spans="1:20" x14ac:dyDescent="0.25">
      <c r="H74" s="15"/>
      <c r="L74" s="10"/>
      <c r="N74" s="6"/>
    </row>
    <row r="75" spans="1:20" x14ac:dyDescent="0.25">
      <c r="H75" s="15"/>
      <c r="L75" s="10"/>
      <c r="N75" s="6"/>
    </row>
    <row r="76" spans="1:20" x14ac:dyDescent="0.25">
      <c r="H76" s="15"/>
      <c r="L76" s="10"/>
      <c r="N76" s="6"/>
    </row>
    <row r="77" spans="1:20" x14ac:dyDescent="0.25">
      <c r="H77" s="15"/>
      <c r="L77" s="10"/>
      <c r="N77" s="6"/>
    </row>
    <row r="78" spans="1:20" x14ac:dyDescent="0.25">
      <c r="H78" s="15"/>
      <c r="L78" s="10"/>
      <c r="N78" s="6"/>
    </row>
    <row r="79" spans="1:20" x14ac:dyDescent="0.25">
      <c r="A79" s="96" t="s">
        <v>332</v>
      </c>
      <c r="B79" s="96"/>
      <c r="C79" s="96"/>
      <c r="D79" s="96"/>
      <c r="E79" s="96"/>
      <c r="F79" s="96"/>
      <c r="G79" s="96"/>
      <c r="H79" s="96"/>
      <c r="I79" s="96"/>
      <c r="J79" s="96"/>
      <c r="K79" s="96"/>
      <c r="L79" s="96"/>
      <c r="M79" s="96"/>
      <c r="N79" s="96"/>
      <c r="O79" s="96"/>
      <c r="P79" s="96"/>
      <c r="Q79" s="96"/>
      <c r="R79" s="96"/>
      <c r="S79" s="96"/>
      <c r="T79" s="96"/>
    </row>
    <row r="80" spans="1:20" x14ac:dyDescent="0.25">
      <c r="A80" s="93" t="s">
        <v>27</v>
      </c>
      <c r="B80" s="93"/>
      <c r="C80" s="93"/>
      <c r="D80" s="93"/>
      <c r="E80" s="94"/>
      <c r="F80" s="95" t="s">
        <v>23</v>
      </c>
      <c r="G80" s="93"/>
      <c r="H80" s="93"/>
      <c r="I80" s="93"/>
      <c r="J80" s="93"/>
      <c r="K80" s="93"/>
      <c r="L80" s="93"/>
      <c r="M80" s="93"/>
      <c r="N80" s="93"/>
      <c r="O80" s="94"/>
      <c r="P80" s="78" t="s">
        <v>25</v>
      </c>
      <c r="Q80" s="78"/>
      <c r="R80" s="78"/>
      <c r="S80" s="78"/>
      <c r="T80" s="78"/>
    </row>
    <row r="81" spans="1:20" ht="58.5" customHeight="1" x14ac:dyDescent="0.25">
      <c r="A81" s="79" t="s">
        <v>1</v>
      </c>
      <c r="B81" s="79" t="s">
        <v>13</v>
      </c>
      <c r="C81" s="81" t="s">
        <v>0</v>
      </c>
      <c r="D81" s="79" t="s">
        <v>2</v>
      </c>
      <c r="E81" s="83" t="s">
        <v>17</v>
      </c>
      <c r="F81" s="86" t="s">
        <v>6</v>
      </c>
      <c r="G81" s="86"/>
      <c r="H81" s="86" t="s">
        <v>18</v>
      </c>
      <c r="I81" s="86"/>
      <c r="J81" s="86" t="s">
        <v>19</v>
      </c>
      <c r="K81" s="86"/>
      <c r="L81" s="86" t="s">
        <v>20</v>
      </c>
      <c r="M81" s="86"/>
      <c r="N81" s="86" t="s">
        <v>21</v>
      </c>
      <c r="O81" s="86"/>
      <c r="P81" s="88" t="s">
        <v>26</v>
      </c>
      <c r="Q81" s="79"/>
      <c r="R81" s="79"/>
      <c r="S81" s="79"/>
      <c r="T81" s="79"/>
    </row>
    <row r="82" spans="1:20" ht="58.5" customHeight="1" x14ac:dyDescent="0.25">
      <c r="A82" s="80"/>
      <c r="B82" s="80"/>
      <c r="C82" s="82"/>
      <c r="D82" s="80"/>
      <c r="E82" s="84"/>
      <c r="F82" s="91" t="s">
        <v>202</v>
      </c>
      <c r="G82" s="91"/>
      <c r="H82" s="91" t="s">
        <v>206</v>
      </c>
      <c r="I82" s="91"/>
      <c r="J82" s="91" t="s">
        <v>97</v>
      </c>
      <c r="K82" s="91"/>
      <c r="L82" s="91" t="s">
        <v>210</v>
      </c>
      <c r="M82" s="91"/>
      <c r="N82" s="91"/>
      <c r="O82" s="91"/>
      <c r="P82" s="89"/>
      <c r="Q82" s="78"/>
      <c r="R82" s="78"/>
      <c r="S82" s="78"/>
      <c r="T82" s="78"/>
    </row>
    <row r="83" spans="1:20" ht="25.5" x14ac:dyDescent="0.25">
      <c r="A83" s="80"/>
      <c r="B83" s="80"/>
      <c r="C83" s="82"/>
      <c r="D83" s="80"/>
      <c r="E83" s="18" t="s">
        <v>3</v>
      </c>
      <c r="F83" s="29" t="s">
        <v>15</v>
      </c>
      <c r="G83" s="29" t="s">
        <v>16</v>
      </c>
      <c r="H83" s="29" t="s">
        <v>15</v>
      </c>
      <c r="I83" s="29" t="s">
        <v>16</v>
      </c>
      <c r="J83" s="29" t="s">
        <v>15</v>
      </c>
      <c r="K83" s="62" t="s">
        <v>16</v>
      </c>
      <c r="L83" s="62" t="s">
        <v>15</v>
      </c>
      <c r="M83" s="62" t="s">
        <v>16</v>
      </c>
      <c r="N83" s="29" t="s">
        <v>15</v>
      </c>
      <c r="O83" s="29" t="s">
        <v>16</v>
      </c>
      <c r="P83" s="51" t="s">
        <v>24</v>
      </c>
      <c r="Q83" s="28" t="s">
        <v>5</v>
      </c>
      <c r="R83" s="28" t="s">
        <v>8</v>
      </c>
      <c r="S83" s="28" t="s">
        <v>9</v>
      </c>
      <c r="T83" s="29" t="s">
        <v>14</v>
      </c>
    </row>
    <row r="84" spans="1:20" hidden="1" x14ac:dyDescent="0.25">
      <c r="A84" s="45" t="s">
        <v>59</v>
      </c>
      <c r="B84" s="45" t="s">
        <v>60</v>
      </c>
      <c r="C84" s="46" t="s">
        <v>61</v>
      </c>
      <c r="D84" s="45" t="s">
        <v>62</v>
      </c>
      <c r="E84" s="50" t="s">
        <v>63</v>
      </c>
      <c r="F84" s="47" t="s">
        <v>64</v>
      </c>
      <c r="G84" s="47" t="s">
        <v>65</v>
      </c>
      <c r="H84" s="47" t="s">
        <v>66</v>
      </c>
      <c r="I84" s="47" t="s">
        <v>67</v>
      </c>
      <c r="J84" s="47" t="s">
        <v>68</v>
      </c>
      <c r="K84" s="47" t="s">
        <v>69</v>
      </c>
      <c r="L84" s="47" t="s">
        <v>70</v>
      </c>
      <c r="M84" s="47" t="s">
        <v>71</v>
      </c>
      <c r="N84" s="47" t="s">
        <v>72</v>
      </c>
      <c r="O84" s="47" t="s">
        <v>73</v>
      </c>
      <c r="P84" s="54" t="s">
        <v>74</v>
      </c>
      <c r="Q84" s="48" t="s">
        <v>75</v>
      </c>
      <c r="R84" s="45" t="s">
        <v>76</v>
      </c>
      <c r="S84" s="45" t="s">
        <v>77</v>
      </c>
      <c r="T84" s="49" t="s">
        <v>78</v>
      </c>
    </row>
    <row r="85" spans="1:20" ht="25.5" x14ac:dyDescent="0.25">
      <c r="A85" s="34">
        <v>1</v>
      </c>
      <c r="B85" s="34" t="s">
        <v>476</v>
      </c>
      <c r="C85" s="35" t="s">
        <v>333</v>
      </c>
      <c r="D85" s="34" t="s">
        <v>4</v>
      </c>
      <c r="E85" s="36">
        <v>1</v>
      </c>
      <c r="F85" s="37">
        <v>1125.21</v>
      </c>
      <c r="G85" s="37">
        <f t="shared" ref="G85:G100" si="37">F85*$E85</f>
        <v>1125.21</v>
      </c>
      <c r="H85" s="37">
        <v>1420</v>
      </c>
      <c r="I85" s="37">
        <f t="shared" ref="I85:I100" si="38">H85*$E85</f>
        <v>1420</v>
      </c>
      <c r="J85" s="37">
        <v>1049.22</v>
      </c>
      <c r="K85" s="37">
        <f t="shared" ref="K85:K100" si="39">J85*$E85</f>
        <v>1049.22</v>
      </c>
      <c r="L85" s="37"/>
      <c r="M85" s="37">
        <f t="shared" ref="M85:M100" si="40">L85*$E85</f>
        <v>0</v>
      </c>
      <c r="N85" s="37"/>
      <c r="O85" s="37">
        <f t="shared" ref="O85:O100" si="41">N85*$E85</f>
        <v>0</v>
      </c>
      <c r="P85" s="53">
        <f>MEDIAN(J85,H85,F85,L85,N85)</f>
        <v>1125.21</v>
      </c>
      <c r="Q85" s="39" t="str">
        <f>_xlfn.XLOOKUP(P85,F85:O85,$F$82:$O$82)</f>
        <v>ANGOLINI &amp; ANGOLINI LTDA</v>
      </c>
      <c r="R85" s="34" t="str">
        <f>_xlfn.XLOOKUP(Q85,'RELAÇÃO DE FORNECEDORES'!$A$3:$A$287,'RELAÇÃO DE FORNECEDORES'!$B$3:$B$287)</f>
        <v>44.829.653/0001-53</v>
      </c>
      <c r="S85" s="34" t="str">
        <f>_xlfn.XLOOKUP(Q85,'RELAÇÃO DE FORNECEDORES'!$A$3:$A$287,'RELAÇÃO DE FORNECEDORES'!$E$3:$E$287)</f>
        <v>ANTÔNIO CANDIDO</v>
      </c>
      <c r="T85" s="40">
        <f>_xlfn.XLOOKUP(Q85,'RELAÇÃO DE FORNECEDORES'!$A$3:$A$287,'RELAÇÃO DE FORNECEDORES'!$C$3:$C$287)</f>
        <v>44547</v>
      </c>
    </row>
    <row r="86" spans="1:20" x14ac:dyDescent="0.25">
      <c r="A86" s="11">
        <v>2</v>
      </c>
      <c r="B86" s="11" t="s">
        <v>477</v>
      </c>
      <c r="C86" s="14" t="s">
        <v>334</v>
      </c>
      <c r="D86" s="11" t="s">
        <v>4</v>
      </c>
      <c r="E86" s="41">
        <v>2</v>
      </c>
      <c r="F86" s="42">
        <v>2941.16</v>
      </c>
      <c r="G86" s="42">
        <f t="shared" si="37"/>
        <v>5882.32</v>
      </c>
      <c r="H86" s="42">
        <v>4000</v>
      </c>
      <c r="I86" s="42">
        <f t="shared" si="38"/>
        <v>8000</v>
      </c>
      <c r="J86" s="42">
        <v>2782.32</v>
      </c>
      <c r="K86" s="42">
        <f t="shared" si="39"/>
        <v>5564.64</v>
      </c>
      <c r="L86" s="42"/>
      <c r="M86" s="42">
        <f t="shared" si="40"/>
        <v>0</v>
      </c>
      <c r="N86" s="42"/>
      <c r="O86" s="42">
        <f t="shared" si="41"/>
        <v>0</v>
      </c>
      <c r="P86" s="52">
        <f t="shared" ref="P86:P100" si="42">MEDIAN(J86,H86,F86,L86,N86)</f>
        <v>2941.16</v>
      </c>
      <c r="Q86" s="43" t="str">
        <f>_xlfn.XLOOKUP(P86,F86:O86,$F$82:$O$82)</f>
        <v>ANGOLINI &amp; ANGOLINI LTDA</v>
      </c>
      <c r="R86" s="11" t="str">
        <f>_xlfn.XLOOKUP(Q86,'RELAÇÃO DE FORNECEDORES'!$A$3:$A$287,'RELAÇÃO DE FORNECEDORES'!$B$3:$B$287)</f>
        <v>44.829.653/0001-53</v>
      </c>
      <c r="S86" s="11" t="str">
        <f>_xlfn.XLOOKUP(Q86,'RELAÇÃO DE FORNECEDORES'!$A$3:$A$287,'RELAÇÃO DE FORNECEDORES'!$E$3:$E$287)</f>
        <v>ANTÔNIO CANDIDO</v>
      </c>
      <c r="T86" s="44">
        <f>_xlfn.XLOOKUP(Q86,'RELAÇÃO DE FORNECEDORES'!$A$3:$A$287,'RELAÇÃO DE FORNECEDORES'!$C$3:$C$287)</f>
        <v>44547</v>
      </c>
    </row>
    <row r="87" spans="1:20" x14ac:dyDescent="0.25">
      <c r="A87" s="45">
        <v>3</v>
      </c>
      <c r="B87" s="11" t="s">
        <v>478</v>
      </c>
      <c r="C87" s="46" t="s">
        <v>335</v>
      </c>
      <c r="D87" s="45" t="s">
        <v>4</v>
      </c>
      <c r="E87" s="50">
        <v>2</v>
      </c>
      <c r="F87" s="47">
        <v>5918.94</v>
      </c>
      <c r="G87" s="47">
        <f t="shared" si="37"/>
        <v>11837.88</v>
      </c>
      <c r="H87" s="47">
        <v>9190</v>
      </c>
      <c r="I87" s="47">
        <f t="shared" si="38"/>
        <v>18380</v>
      </c>
      <c r="J87" s="47">
        <v>5559.46</v>
      </c>
      <c r="K87" s="47">
        <f t="shared" si="39"/>
        <v>11118.92</v>
      </c>
      <c r="L87" s="47"/>
      <c r="M87" s="47">
        <f t="shared" si="40"/>
        <v>0</v>
      </c>
      <c r="N87" s="47"/>
      <c r="O87" s="47">
        <f t="shared" si="41"/>
        <v>0</v>
      </c>
      <c r="P87" s="54">
        <f t="shared" si="42"/>
        <v>5918.94</v>
      </c>
      <c r="Q87" s="43" t="str">
        <f t="shared" ref="Q87:Q100" si="43">_xlfn.XLOOKUP(P87,F87:O87,$F$82:$O$82)</f>
        <v>ANGOLINI &amp; ANGOLINI LTDA</v>
      </c>
      <c r="R87" s="45" t="str">
        <f>_xlfn.XLOOKUP(Q87,'RELAÇÃO DE FORNECEDORES'!$A$3:$A$287,'RELAÇÃO DE FORNECEDORES'!$B$3:$B$287)</f>
        <v>44.829.653/0001-53</v>
      </c>
      <c r="S87" s="45" t="str">
        <f>_xlfn.XLOOKUP(Q87,'RELAÇÃO DE FORNECEDORES'!$A$3:$A$287,'RELAÇÃO DE FORNECEDORES'!$E$3:$E$287)</f>
        <v>ANTÔNIO CANDIDO</v>
      </c>
      <c r="T87" s="49">
        <f>_xlfn.XLOOKUP(Q87,'RELAÇÃO DE FORNECEDORES'!$A$3:$A$287,'RELAÇÃO DE FORNECEDORES'!$C$3:$C$287)</f>
        <v>44547</v>
      </c>
    </row>
    <row r="88" spans="1:20" x14ac:dyDescent="0.25">
      <c r="A88" s="11">
        <v>4</v>
      </c>
      <c r="B88" s="11" t="s">
        <v>479</v>
      </c>
      <c r="C88" s="14" t="s">
        <v>336</v>
      </c>
      <c r="D88" s="11" t="s">
        <v>4</v>
      </c>
      <c r="E88" s="41">
        <v>2</v>
      </c>
      <c r="F88" s="42">
        <v>9854.73</v>
      </c>
      <c r="G88" s="42">
        <f t="shared" si="37"/>
        <v>19709.46</v>
      </c>
      <c r="H88" s="42">
        <v>15900</v>
      </c>
      <c r="I88" s="42">
        <f t="shared" si="38"/>
        <v>31800</v>
      </c>
      <c r="J88" s="42">
        <v>9571.92</v>
      </c>
      <c r="K88" s="42">
        <f t="shared" si="39"/>
        <v>19143.84</v>
      </c>
      <c r="L88" s="42"/>
      <c r="M88" s="42">
        <f t="shared" si="40"/>
        <v>0</v>
      </c>
      <c r="N88" s="42"/>
      <c r="O88" s="42">
        <f t="shared" si="41"/>
        <v>0</v>
      </c>
      <c r="P88" s="52">
        <f t="shared" si="42"/>
        <v>9854.73</v>
      </c>
      <c r="Q88" s="43" t="str">
        <f t="shared" si="43"/>
        <v>ANGOLINI &amp; ANGOLINI LTDA</v>
      </c>
      <c r="R88" s="11" t="str">
        <f>_xlfn.XLOOKUP(Q88,'RELAÇÃO DE FORNECEDORES'!$A$3:$A$287,'RELAÇÃO DE FORNECEDORES'!$B$3:$B$287)</f>
        <v>44.829.653/0001-53</v>
      </c>
      <c r="S88" s="11" t="str">
        <f>_xlfn.XLOOKUP(Q88,'RELAÇÃO DE FORNECEDORES'!$A$3:$A$287,'RELAÇÃO DE FORNECEDORES'!$E$3:$E$287)</f>
        <v>ANTÔNIO CANDIDO</v>
      </c>
      <c r="T88" s="44">
        <f>_xlfn.XLOOKUP(Q88,'RELAÇÃO DE FORNECEDORES'!$A$3:$A$287,'RELAÇÃO DE FORNECEDORES'!$C$3:$C$287)</f>
        <v>44547</v>
      </c>
    </row>
    <row r="89" spans="1:20" x14ac:dyDescent="0.25">
      <c r="A89" s="45">
        <v>5</v>
      </c>
      <c r="B89" s="11" t="s">
        <v>480</v>
      </c>
      <c r="C89" s="46" t="s">
        <v>337</v>
      </c>
      <c r="D89" s="45" t="s">
        <v>4</v>
      </c>
      <c r="E89" s="50">
        <v>1</v>
      </c>
      <c r="F89" s="47">
        <v>3688.05</v>
      </c>
      <c r="G89" s="47">
        <f t="shared" si="37"/>
        <v>3688.05</v>
      </c>
      <c r="H89" s="47">
        <v>0</v>
      </c>
      <c r="I89" s="47">
        <f t="shared" si="38"/>
        <v>0</v>
      </c>
      <c r="J89" s="47">
        <v>4410.8599999999997</v>
      </c>
      <c r="K89" s="47">
        <f t="shared" si="39"/>
        <v>4410.8599999999997</v>
      </c>
      <c r="L89" s="47"/>
      <c r="M89" s="47">
        <f t="shared" si="40"/>
        <v>0</v>
      </c>
      <c r="N89" s="47"/>
      <c r="O89" s="47">
        <f t="shared" si="41"/>
        <v>0</v>
      </c>
      <c r="P89" s="54">
        <f t="shared" si="42"/>
        <v>3688.05</v>
      </c>
      <c r="Q89" s="43" t="str">
        <f t="shared" si="43"/>
        <v>ANGOLINI &amp; ANGOLINI LTDA</v>
      </c>
      <c r="R89" s="45" t="str">
        <f>_xlfn.XLOOKUP(Q89,'RELAÇÃO DE FORNECEDORES'!$A$3:$A$287,'RELAÇÃO DE FORNECEDORES'!$B$3:$B$287)</f>
        <v>44.829.653/0001-53</v>
      </c>
      <c r="S89" s="45" t="str">
        <f>_xlfn.XLOOKUP(Q89,'RELAÇÃO DE FORNECEDORES'!$A$3:$A$287,'RELAÇÃO DE FORNECEDORES'!$E$3:$E$287)</f>
        <v>ANTÔNIO CANDIDO</v>
      </c>
      <c r="T89" s="49">
        <f>_xlfn.XLOOKUP(Q89,'RELAÇÃO DE FORNECEDORES'!$A$3:$A$287,'RELAÇÃO DE FORNECEDORES'!$C$3:$C$287)</f>
        <v>44547</v>
      </c>
    </row>
    <row r="90" spans="1:20" x14ac:dyDescent="0.25">
      <c r="A90" s="11">
        <v>6</v>
      </c>
      <c r="B90" s="11" t="s">
        <v>481</v>
      </c>
      <c r="C90" s="14" t="s">
        <v>338</v>
      </c>
      <c r="D90" s="11" t="s">
        <v>4</v>
      </c>
      <c r="E90" s="41">
        <v>1</v>
      </c>
      <c r="F90" s="42">
        <v>3832.06</v>
      </c>
      <c r="G90" s="42">
        <f t="shared" si="37"/>
        <v>3832.06</v>
      </c>
      <c r="H90" s="42">
        <v>0</v>
      </c>
      <c r="I90" s="42">
        <f t="shared" si="38"/>
        <v>0</v>
      </c>
      <c r="J90" s="42">
        <v>3782.81</v>
      </c>
      <c r="K90" s="42">
        <f t="shared" si="39"/>
        <v>3782.81</v>
      </c>
      <c r="L90" s="42"/>
      <c r="M90" s="42">
        <f t="shared" si="40"/>
        <v>0</v>
      </c>
      <c r="N90" s="42"/>
      <c r="O90" s="42">
        <f t="shared" si="41"/>
        <v>0</v>
      </c>
      <c r="P90" s="52">
        <f t="shared" si="42"/>
        <v>3782.81</v>
      </c>
      <c r="Q90" s="43" t="str">
        <f t="shared" si="43"/>
        <v>JV TUBOS E ACABAMENTOS EIRELI</v>
      </c>
      <c r="R90" s="11" t="str">
        <f>_xlfn.XLOOKUP(Q90,'RELAÇÃO DE FORNECEDORES'!$A$3:$A$287,'RELAÇÃO DE FORNECEDORES'!$B$3:$B$287)</f>
        <v>21.391.561/0002-10</v>
      </c>
      <c r="S90" s="11" t="str">
        <f>_xlfn.XLOOKUP(Q90,'RELAÇÃO DE FORNECEDORES'!$A$3:$A$287,'RELAÇÃO DE FORNECEDORES'!$E$3:$E$287)</f>
        <v>ALINE</v>
      </c>
      <c r="T90" s="44">
        <f>_xlfn.XLOOKUP(Q90,'RELAÇÃO DE FORNECEDORES'!$A$3:$A$287,'RELAÇÃO DE FORNECEDORES'!$C$3:$C$287)</f>
        <v>44477</v>
      </c>
    </row>
    <row r="91" spans="1:20" x14ac:dyDescent="0.25">
      <c r="A91" s="45">
        <v>7</v>
      </c>
      <c r="B91" s="11" t="s">
        <v>482</v>
      </c>
      <c r="C91" s="46" t="s">
        <v>181</v>
      </c>
      <c r="D91" s="45" t="s">
        <v>4</v>
      </c>
      <c r="E91" s="50">
        <v>1</v>
      </c>
      <c r="F91" s="47">
        <v>3688.05</v>
      </c>
      <c r="G91" s="47">
        <f t="shared" si="37"/>
        <v>3688.05</v>
      </c>
      <c r="H91" s="47">
        <v>5600</v>
      </c>
      <c r="I91" s="47">
        <f t="shared" si="38"/>
        <v>5600</v>
      </c>
      <c r="J91" s="47">
        <v>3508.53</v>
      </c>
      <c r="K91" s="47">
        <f t="shared" si="39"/>
        <v>3508.53</v>
      </c>
      <c r="L91" s="47"/>
      <c r="M91" s="47">
        <f t="shared" si="40"/>
        <v>0</v>
      </c>
      <c r="N91" s="47"/>
      <c r="O91" s="47">
        <f t="shared" si="41"/>
        <v>0</v>
      </c>
      <c r="P91" s="54">
        <f t="shared" si="42"/>
        <v>3688.05</v>
      </c>
      <c r="Q91" s="43" t="str">
        <f t="shared" si="43"/>
        <v>ANGOLINI &amp; ANGOLINI LTDA</v>
      </c>
      <c r="R91" s="45" t="str">
        <f>_xlfn.XLOOKUP(Q91,'RELAÇÃO DE FORNECEDORES'!$A$3:$A$287,'RELAÇÃO DE FORNECEDORES'!$B$3:$B$287)</f>
        <v>44.829.653/0001-53</v>
      </c>
      <c r="S91" s="45" t="str">
        <f>_xlfn.XLOOKUP(Q91,'RELAÇÃO DE FORNECEDORES'!$A$3:$A$287,'RELAÇÃO DE FORNECEDORES'!$E$3:$E$287)</f>
        <v>ANTÔNIO CANDIDO</v>
      </c>
      <c r="T91" s="49">
        <f>_xlfn.XLOOKUP(Q91,'RELAÇÃO DE FORNECEDORES'!$A$3:$A$287,'RELAÇÃO DE FORNECEDORES'!$C$3:$C$287)</f>
        <v>44547</v>
      </c>
    </row>
    <row r="92" spans="1:20" ht="25.5" x14ac:dyDescent="0.25">
      <c r="A92" s="11">
        <v>8</v>
      </c>
      <c r="B92" s="11" t="s">
        <v>483</v>
      </c>
      <c r="C92" s="14" t="s">
        <v>339</v>
      </c>
      <c r="D92" s="11" t="s">
        <v>4</v>
      </c>
      <c r="E92" s="41">
        <v>1</v>
      </c>
      <c r="F92" s="42">
        <v>3446.41</v>
      </c>
      <c r="G92" s="42">
        <f t="shared" si="37"/>
        <v>3446.41</v>
      </c>
      <c r="H92" s="42">
        <v>2200</v>
      </c>
      <c r="I92" s="42">
        <f t="shared" si="38"/>
        <v>2200</v>
      </c>
      <c r="J92" s="42">
        <v>1795.76</v>
      </c>
      <c r="K92" s="42">
        <f t="shared" si="39"/>
        <v>1795.76</v>
      </c>
      <c r="L92" s="42"/>
      <c r="M92" s="42">
        <f t="shared" si="40"/>
        <v>0</v>
      </c>
      <c r="N92" s="42"/>
      <c r="O92" s="42">
        <f t="shared" si="41"/>
        <v>0</v>
      </c>
      <c r="P92" s="52">
        <f t="shared" si="42"/>
        <v>2200</v>
      </c>
      <c r="Q92" s="43" t="str">
        <f t="shared" si="43"/>
        <v>V E GOMES ARAUJO EIRELI (MT SANEAMENTO)</v>
      </c>
      <c r="R92" s="11" t="str">
        <f>_xlfn.XLOOKUP(Q92,'RELAÇÃO DE FORNECEDORES'!$A$3:$A$287,'RELAÇÃO DE FORNECEDORES'!$B$3:$B$287)</f>
        <v>20.775.930/0001-24</v>
      </c>
      <c r="S92" s="11" t="str">
        <f>_xlfn.XLOOKUP(Q92,'RELAÇÃO DE FORNECEDORES'!$A$3:$A$287,'RELAÇÃO DE FORNECEDORES'!$E$3:$E$287)</f>
        <v>VICTOR ARAUJO</v>
      </c>
      <c r="T92" s="44">
        <f>_xlfn.XLOOKUP(Q92,'RELAÇÃO DE FORNECEDORES'!$A$3:$A$287,'RELAÇÃO DE FORNECEDORES'!$C$3:$C$287)</f>
        <v>44547</v>
      </c>
    </row>
    <row r="93" spans="1:20" x14ac:dyDescent="0.25">
      <c r="A93" s="45">
        <v>9</v>
      </c>
      <c r="B93" s="11" t="s">
        <v>484</v>
      </c>
      <c r="C93" s="46" t="s">
        <v>340</v>
      </c>
      <c r="D93" s="45" t="s">
        <v>4</v>
      </c>
      <c r="E93" s="50">
        <v>1</v>
      </c>
      <c r="F93" s="47"/>
      <c r="G93" s="42">
        <f t="shared" si="37"/>
        <v>0</v>
      </c>
      <c r="H93" s="47"/>
      <c r="I93" s="42">
        <f t="shared" si="38"/>
        <v>0</v>
      </c>
      <c r="J93" s="47">
        <v>1288.5</v>
      </c>
      <c r="K93" s="47">
        <f t="shared" si="39"/>
        <v>1288.5</v>
      </c>
      <c r="L93" s="47"/>
      <c r="M93" s="47">
        <f t="shared" si="40"/>
        <v>0</v>
      </c>
      <c r="N93" s="47"/>
      <c r="O93" s="47">
        <f t="shared" si="41"/>
        <v>0</v>
      </c>
      <c r="P93" s="54">
        <f t="shared" si="42"/>
        <v>1288.5</v>
      </c>
      <c r="Q93" s="43" t="str">
        <f t="shared" si="43"/>
        <v>JV TUBOS E ACABAMENTOS EIRELI</v>
      </c>
      <c r="R93" s="45" t="str">
        <f>_xlfn.XLOOKUP(Q93,'RELAÇÃO DE FORNECEDORES'!$A$3:$A$287,'RELAÇÃO DE FORNECEDORES'!$B$3:$B$287)</f>
        <v>21.391.561/0002-10</v>
      </c>
      <c r="S93" s="45" t="str">
        <f>_xlfn.XLOOKUP(Q93,'RELAÇÃO DE FORNECEDORES'!$A$3:$A$287,'RELAÇÃO DE FORNECEDORES'!$E$3:$E$287)</f>
        <v>ALINE</v>
      </c>
      <c r="T93" s="49">
        <f>_xlfn.XLOOKUP(Q93,'RELAÇÃO DE FORNECEDORES'!$A$3:$A$287,'RELAÇÃO DE FORNECEDORES'!$C$3:$C$287)</f>
        <v>44477</v>
      </c>
    </row>
    <row r="94" spans="1:20" ht="25.5" x14ac:dyDescent="0.25">
      <c r="A94" s="11">
        <v>10</v>
      </c>
      <c r="B94" s="11" t="s">
        <v>485</v>
      </c>
      <c r="C94" s="14" t="s">
        <v>341</v>
      </c>
      <c r="D94" s="11" t="s">
        <v>4</v>
      </c>
      <c r="E94" s="41">
        <v>1</v>
      </c>
      <c r="F94" s="42"/>
      <c r="G94" s="42">
        <f t="shared" si="37"/>
        <v>0</v>
      </c>
      <c r="H94" s="42"/>
      <c r="I94" s="42">
        <f t="shared" si="38"/>
        <v>0</v>
      </c>
      <c r="J94" s="42">
        <v>5820.6</v>
      </c>
      <c r="K94" s="42">
        <f t="shared" si="39"/>
        <v>5820.6</v>
      </c>
      <c r="L94" s="42"/>
      <c r="M94" s="42">
        <f t="shared" si="40"/>
        <v>0</v>
      </c>
      <c r="N94" s="42"/>
      <c r="O94" s="42">
        <f t="shared" si="41"/>
        <v>0</v>
      </c>
      <c r="P94" s="52">
        <f t="shared" si="42"/>
        <v>5820.6</v>
      </c>
      <c r="Q94" s="43" t="str">
        <f t="shared" si="43"/>
        <v>JV TUBOS E ACABAMENTOS EIRELI</v>
      </c>
      <c r="R94" s="11" t="str">
        <f>_xlfn.XLOOKUP(Q94,'RELAÇÃO DE FORNECEDORES'!$A$3:$A$287,'RELAÇÃO DE FORNECEDORES'!$B$3:$B$287)</f>
        <v>21.391.561/0002-10</v>
      </c>
      <c r="S94" s="11" t="str">
        <f>_xlfn.XLOOKUP(Q94,'RELAÇÃO DE FORNECEDORES'!$A$3:$A$287,'RELAÇÃO DE FORNECEDORES'!$E$3:$E$287)</f>
        <v>ALINE</v>
      </c>
      <c r="T94" s="44">
        <f>_xlfn.XLOOKUP(Q94,'RELAÇÃO DE FORNECEDORES'!$A$3:$A$287,'RELAÇÃO DE FORNECEDORES'!$C$3:$C$287)</f>
        <v>44477</v>
      </c>
    </row>
    <row r="95" spans="1:20" x14ac:dyDescent="0.25">
      <c r="A95" s="45">
        <v>11</v>
      </c>
      <c r="B95" s="11" t="s">
        <v>486</v>
      </c>
      <c r="C95" s="46" t="s">
        <v>342</v>
      </c>
      <c r="D95" s="45" t="s">
        <v>4</v>
      </c>
      <c r="E95" s="50">
        <v>1</v>
      </c>
      <c r="F95" s="47">
        <v>958.01</v>
      </c>
      <c r="G95" s="47">
        <f t="shared" si="37"/>
        <v>958.01</v>
      </c>
      <c r="H95" s="47">
        <v>1330</v>
      </c>
      <c r="I95" s="47">
        <f t="shared" si="38"/>
        <v>1330</v>
      </c>
      <c r="J95" s="47">
        <v>1237.8499999999999</v>
      </c>
      <c r="K95" s="47">
        <f t="shared" si="39"/>
        <v>1237.8499999999999</v>
      </c>
      <c r="L95" s="47"/>
      <c r="M95" s="47">
        <f t="shared" si="40"/>
        <v>0</v>
      </c>
      <c r="N95" s="47"/>
      <c r="O95" s="47">
        <f t="shared" si="41"/>
        <v>0</v>
      </c>
      <c r="P95" s="54">
        <f t="shared" si="42"/>
        <v>1237.8499999999999</v>
      </c>
      <c r="Q95" s="43" t="str">
        <f t="shared" si="43"/>
        <v>JV TUBOS E ACABAMENTOS EIRELI</v>
      </c>
      <c r="R95" s="45" t="str">
        <f>_xlfn.XLOOKUP(Q95,'RELAÇÃO DE FORNECEDORES'!$A$3:$A$287,'RELAÇÃO DE FORNECEDORES'!$B$3:$B$287)</f>
        <v>21.391.561/0002-10</v>
      </c>
      <c r="S95" s="45" t="str">
        <f>_xlfn.XLOOKUP(Q95,'RELAÇÃO DE FORNECEDORES'!$A$3:$A$287,'RELAÇÃO DE FORNECEDORES'!$E$3:$E$287)</f>
        <v>ALINE</v>
      </c>
      <c r="T95" s="49">
        <f>_xlfn.XLOOKUP(Q95,'RELAÇÃO DE FORNECEDORES'!$A$3:$A$287,'RELAÇÃO DE FORNECEDORES'!$C$3:$C$287)</f>
        <v>44477</v>
      </c>
    </row>
    <row r="96" spans="1:20" ht="25.5" x14ac:dyDescent="0.25">
      <c r="A96" s="11">
        <v>12</v>
      </c>
      <c r="B96" s="11" t="s">
        <v>487</v>
      </c>
      <c r="C96" s="14" t="s">
        <v>343</v>
      </c>
      <c r="D96" s="11" t="s">
        <v>4</v>
      </c>
      <c r="E96" s="41">
        <v>1</v>
      </c>
      <c r="F96" s="42"/>
      <c r="G96" s="42">
        <f t="shared" si="37"/>
        <v>0</v>
      </c>
      <c r="H96" s="42"/>
      <c r="I96" s="42">
        <f t="shared" si="38"/>
        <v>0</v>
      </c>
      <c r="J96" s="42">
        <v>2098.44</v>
      </c>
      <c r="K96" s="42">
        <f t="shared" si="39"/>
        <v>2098.44</v>
      </c>
      <c r="L96" s="42"/>
      <c r="M96" s="42">
        <f t="shared" si="40"/>
        <v>0</v>
      </c>
      <c r="N96" s="42"/>
      <c r="O96" s="42">
        <f t="shared" si="41"/>
        <v>0</v>
      </c>
      <c r="P96" s="52">
        <f t="shared" si="42"/>
        <v>2098.44</v>
      </c>
      <c r="Q96" s="43" t="str">
        <f t="shared" si="43"/>
        <v>JV TUBOS E ACABAMENTOS EIRELI</v>
      </c>
      <c r="R96" s="11" t="str">
        <f>_xlfn.XLOOKUP(Q96,'RELAÇÃO DE FORNECEDORES'!$A$3:$A$287,'RELAÇÃO DE FORNECEDORES'!$B$3:$B$287)</f>
        <v>21.391.561/0002-10</v>
      </c>
      <c r="S96" s="11" t="str">
        <f>_xlfn.XLOOKUP(Q96,'RELAÇÃO DE FORNECEDORES'!$A$3:$A$287,'RELAÇÃO DE FORNECEDORES'!$E$3:$E$287)</f>
        <v>ALINE</v>
      </c>
      <c r="T96" s="44">
        <f>_xlfn.XLOOKUP(Q96,'RELAÇÃO DE FORNECEDORES'!$A$3:$A$287,'RELAÇÃO DE FORNECEDORES'!$C$3:$C$287)</f>
        <v>44477</v>
      </c>
    </row>
    <row r="97" spans="1:20" ht="25.5" x14ac:dyDescent="0.25">
      <c r="A97" s="45">
        <v>13</v>
      </c>
      <c r="B97" s="11" t="s">
        <v>488</v>
      </c>
      <c r="C97" s="46" t="s">
        <v>261</v>
      </c>
      <c r="D97" s="45" t="s">
        <v>4</v>
      </c>
      <c r="E97" s="50">
        <v>8</v>
      </c>
      <c r="F97" s="47">
        <v>29.11</v>
      </c>
      <c r="G97" s="47">
        <f t="shared" si="37"/>
        <v>232.88</v>
      </c>
      <c r="H97" s="47">
        <v>24</v>
      </c>
      <c r="I97" s="47">
        <f t="shared" si="38"/>
        <v>192</v>
      </c>
      <c r="J97" s="47">
        <v>0</v>
      </c>
      <c r="K97" s="47">
        <f t="shared" si="39"/>
        <v>0</v>
      </c>
      <c r="L97" s="47">
        <v>42</v>
      </c>
      <c r="M97" s="47">
        <f t="shared" si="40"/>
        <v>336</v>
      </c>
      <c r="N97" s="47">
        <v>0</v>
      </c>
      <c r="O97" s="47">
        <f t="shared" si="41"/>
        <v>0</v>
      </c>
      <c r="P97" s="54">
        <f t="shared" si="42"/>
        <v>24</v>
      </c>
      <c r="Q97" s="43" t="str">
        <f t="shared" si="43"/>
        <v>V E GOMES ARAUJO EIRELI (MT SANEAMENTO)</v>
      </c>
      <c r="R97" s="45" t="str">
        <f>_xlfn.XLOOKUP(Q97,'RELAÇÃO DE FORNECEDORES'!$A$3:$A$287,'RELAÇÃO DE FORNECEDORES'!$B$3:$B$287)</f>
        <v>20.775.930/0001-24</v>
      </c>
      <c r="S97" s="45" t="str">
        <f>_xlfn.XLOOKUP(Q97,'RELAÇÃO DE FORNECEDORES'!$A$3:$A$287,'RELAÇÃO DE FORNECEDORES'!$E$3:$E$287)</f>
        <v>VICTOR ARAUJO</v>
      </c>
      <c r="T97" s="49">
        <f>_xlfn.XLOOKUP(Q97,'RELAÇÃO DE FORNECEDORES'!$A$3:$A$287,'RELAÇÃO DE FORNECEDORES'!$C$3:$C$287)</f>
        <v>44547</v>
      </c>
    </row>
    <row r="98" spans="1:20" ht="25.5" x14ac:dyDescent="0.25">
      <c r="A98" s="11">
        <v>14</v>
      </c>
      <c r="B98" s="11" t="s">
        <v>489</v>
      </c>
      <c r="C98" s="14" t="s">
        <v>344</v>
      </c>
      <c r="D98" s="11" t="s">
        <v>4</v>
      </c>
      <c r="E98" s="41">
        <v>3</v>
      </c>
      <c r="F98" s="42">
        <v>18.309999999999999</v>
      </c>
      <c r="G98" s="42">
        <f t="shared" si="37"/>
        <v>54.929999999999993</v>
      </c>
      <c r="H98" s="42">
        <v>14</v>
      </c>
      <c r="I98" s="42">
        <f t="shared" si="38"/>
        <v>42</v>
      </c>
      <c r="J98" s="42">
        <v>0</v>
      </c>
      <c r="K98" s="42">
        <f t="shared" si="39"/>
        <v>0</v>
      </c>
      <c r="L98" s="42">
        <v>14</v>
      </c>
      <c r="M98" s="42">
        <f t="shared" si="40"/>
        <v>42</v>
      </c>
      <c r="N98" s="42">
        <v>0</v>
      </c>
      <c r="O98" s="42">
        <f t="shared" si="41"/>
        <v>0</v>
      </c>
      <c r="P98" s="52">
        <f t="shared" si="42"/>
        <v>14</v>
      </c>
      <c r="Q98" s="43" t="str">
        <f t="shared" si="43"/>
        <v>V E GOMES ARAUJO EIRELI (MT SANEAMENTO)</v>
      </c>
      <c r="R98" s="11" t="str">
        <f>_xlfn.XLOOKUP(Q98,'RELAÇÃO DE FORNECEDORES'!$A$3:$A$287,'RELAÇÃO DE FORNECEDORES'!$B$3:$B$287)</f>
        <v>20.775.930/0001-24</v>
      </c>
      <c r="S98" s="11" t="str">
        <f>_xlfn.XLOOKUP(Q98,'RELAÇÃO DE FORNECEDORES'!$A$3:$A$287,'RELAÇÃO DE FORNECEDORES'!$E$3:$E$287)</f>
        <v>VICTOR ARAUJO</v>
      </c>
      <c r="T98" s="44">
        <f>_xlfn.XLOOKUP(Q98,'RELAÇÃO DE FORNECEDORES'!$A$3:$A$287,'RELAÇÃO DE FORNECEDORES'!$C$3:$C$287)</f>
        <v>44547</v>
      </c>
    </row>
    <row r="99" spans="1:20" ht="25.5" x14ac:dyDescent="0.25">
      <c r="A99" s="45">
        <v>15</v>
      </c>
      <c r="B99" s="11" t="s">
        <v>490</v>
      </c>
      <c r="C99" s="46" t="s">
        <v>345</v>
      </c>
      <c r="D99" s="45" t="s">
        <v>4</v>
      </c>
      <c r="E99" s="50">
        <v>128</v>
      </c>
      <c r="F99" s="47">
        <v>32.71</v>
      </c>
      <c r="G99" s="47">
        <f t="shared" si="37"/>
        <v>4186.88</v>
      </c>
      <c r="H99" s="47">
        <v>36</v>
      </c>
      <c r="I99" s="47">
        <f t="shared" si="38"/>
        <v>4608</v>
      </c>
      <c r="J99" s="47">
        <v>0</v>
      </c>
      <c r="K99" s="47">
        <f t="shared" si="39"/>
        <v>0</v>
      </c>
      <c r="L99" s="47">
        <v>28</v>
      </c>
      <c r="M99" s="47">
        <f t="shared" si="40"/>
        <v>3584</v>
      </c>
      <c r="N99" s="47">
        <v>0</v>
      </c>
      <c r="O99" s="47">
        <f t="shared" si="41"/>
        <v>0</v>
      </c>
      <c r="P99" s="54">
        <f t="shared" si="42"/>
        <v>28</v>
      </c>
      <c r="Q99" s="43" t="str">
        <f t="shared" si="43"/>
        <v>DTS SANEAMENTO VÁLVULAS E CONEXÕES LTDA</v>
      </c>
      <c r="R99" s="45" t="str">
        <f>_xlfn.XLOOKUP(Q99,'RELAÇÃO DE FORNECEDORES'!$A$3:$A$287,'RELAÇÃO DE FORNECEDORES'!$B$3:$B$287)</f>
        <v>30.194.330/0001-26</v>
      </c>
      <c r="S99" s="45" t="str">
        <f>_xlfn.XLOOKUP(Q99,'RELAÇÃO DE FORNECEDORES'!$A$3:$A$287,'RELAÇÃO DE FORNECEDORES'!$E$3:$E$287)</f>
        <v>GILVAN MARTINS</v>
      </c>
      <c r="T99" s="49">
        <f>_xlfn.XLOOKUP(Q99,'RELAÇÃO DE FORNECEDORES'!$A$3:$A$287,'RELAÇÃO DE FORNECEDORES'!$C$3:$C$287)</f>
        <v>44546</v>
      </c>
    </row>
    <row r="100" spans="1:20" ht="25.5" x14ac:dyDescent="0.25">
      <c r="A100" s="30">
        <v>16</v>
      </c>
      <c r="B100" s="11" t="s">
        <v>491</v>
      </c>
      <c r="C100" s="31" t="s">
        <v>346</v>
      </c>
      <c r="D100" s="30" t="s">
        <v>4</v>
      </c>
      <c r="E100" s="55">
        <v>36</v>
      </c>
      <c r="F100" s="56">
        <v>20.5</v>
      </c>
      <c r="G100" s="56">
        <f t="shared" si="37"/>
        <v>738</v>
      </c>
      <c r="H100" s="56">
        <v>28</v>
      </c>
      <c r="I100" s="56">
        <f t="shared" si="38"/>
        <v>1008</v>
      </c>
      <c r="J100" s="56">
        <v>0</v>
      </c>
      <c r="K100" s="56">
        <f t="shared" si="39"/>
        <v>0</v>
      </c>
      <c r="L100" s="56">
        <v>20.9</v>
      </c>
      <c r="M100" s="56">
        <f t="shared" si="40"/>
        <v>752.4</v>
      </c>
      <c r="N100" s="56">
        <v>0</v>
      </c>
      <c r="O100" s="56">
        <f t="shared" si="41"/>
        <v>0</v>
      </c>
      <c r="P100" s="58">
        <f t="shared" si="42"/>
        <v>20.5</v>
      </c>
      <c r="Q100" s="43" t="str">
        <f t="shared" si="43"/>
        <v>ANGOLINI &amp; ANGOLINI LTDA</v>
      </c>
      <c r="R100" s="30" t="str">
        <f>_xlfn.XLOOKUP(Q100,'RELAÇÃO DE FORNECEDORES'!$A$3:$A$287,'RELAÇÃO DE FORNECEDORES'!$B$3:$B$287)</f>
        <v>44.829.653/0001-53</v>
      </c>
      <c r="S100" s="30" t="str">
        <f>_xlfn.XLOOKUP(Q100,'RELAÇÃO DE FORNECEDORES'!$A$3:$A$287,'RELAÇÃO DE FORNECEDORES'!$E$3:$E$287)</f>
        <v>ANTÔNIO CANDIDO</v>
      </c>
      <c r="T100" s="33">
        <f>_xlfn.XLOOKUP(Q100,'RELAÇÃO DE FORNECEDORES'!$A$3:$A$287,'RELAÇÃO DE FORNECEDORES'!$C$3:$C$287)</f>
        <v>44547</v>
      </c>
    </row>
    <row r="101" spans="1:20" x14ac:dyDescent="0.25">
      <c r="H101" s="15"/>
      <c r="L101" s="10"/>
      <c r="N101" s="6"/>
    </row>
    <row r="102" spans="1:20" x14ac:dyDescent="0.25">
      <c r="H102" s="15"/>
      <c r="L102" s="10"/>
      <c r="N102" s="6"/>
    </row>
    <row r="103" spans="1:20" x14ac:dyDescent="0.25">
      <c r="H103" s="15"/>
      <c r="L103" s="10"/>
      <c r="N103" s="6"/>
    </row>
    <row r="104" spans="1:20" x14ac:dyDescent="0.25">
      <c r="A104" s="96" t="s">
        <v>56</v>
      </c>
      <c r="B104" s="96"/>
      <c r="C104" s="96"/>
      <c r="D104" s="96"/>
      <c r="E104" s="96"/>
      <c r="F104" s="96"/>
      <c r="G104" s="96"/>
      <c r="H104" s="96"/>
      <c r="I104" s="96"/>
      <c r="J104" s="96"/>
      <c r="K104" s="96"/>
      <c r="L104" s="96"/>
      <c r="M104" s="96"/>
      <c r="N104" s="96"/>
      <c r="O104" s="96"/>
      <c r="P104" s="96"/>
      <c r="Q104" s="96"/>
      <c r="R104" s="96"/>
      <c r="S104" s="96"/>
      <c r="T104" s="96"/>
    </row>
    <row r="105" spans="1:20" x14ac:dyDescent="0.25">
      <c r="A105" s="93" t="s">
        <v>27</v>
      </c>
      <c r="B105" s="93"/>
      <c r="C105" s="93"/>
      <c r="D105" s="93"/>
      <c r="E105" s="94"/>
      <c r="F105" s="95" t="s">
        <v>23</v>
      </c>
      <c r="G105" s="93"/>
      <c r="H105" s="93"/>
      <c r="I105" s="93"/>
      <c r="J105" s="93"/>
      <c r="K105" s="93"/>
      <c r="L105" s="93"/>
      <c r="M105" s="93"/>
      <c r="N105" s="93"/>
      <c r="O105" s="94"/>
      <c r="P105" s="78" t="s">
        <v>25</v>
      </c>
      <c r="Q105" s="78"/>
      <c r="R105" s="78"/>
      <c r="S105" s="78"/>
      <c r="T105" s="78"/>
    </row>
    <row r="106" spans="1:20" ht="53.25" customHeight="1" x14ac:dyDescent="0.25">
      <c r="A106" s="79" t="s">
        <v>1</v>
      </c>
      <c r="B106" s="79" t="s">
        <v>13</v>
      </c>
      <c r="C106" s="81" t="s">
        <v>0</v>
      </c>
      <c r="D106" s="79" t="s">
        <v>2</v>
      </c>
      <c r="E106" s="83" t="s">
        <v>17</v>
      </c>
      <c r="F106" s="85" t="s">
        <v>6</v>
      </c>
      <c r="G106" s="86"/>
      <c r="H106" s="86" t="s">
        <v>18</v>
      </c>
      <c r="I106" s="86"/>
      <c r="J106" s="86" t="s">
        <v>19</v>
      </c>
      <c r="K106" s="86"/>
      <c r="L106" s="86" t="s">
        <v>20</v>
      </c>
      <c r="M106" s="87"/>
      <c r="N106" s="86" t="s">
        <v>21</v>
      </c>
      <c r="O106" s="87"/>
      <c r="P106" s="88" t="s">
        <v>26</v>
      </c>
      <c r="Q106" s="79"/>
      <c r="R106" s="79"/>
      <c r="S106" s="79"/>
      <c r="T106" s="79"/>
    </row>
    <row r="107" spans="1:20" ht="53.25" customHeight="1" x14ac:dyDescent="0.25">
      <c r="A107" s="80"/>
      <c r="B107" s="80"/>
      <c r="C107" s="82"/>
      <c r="D107" s="80"/>
      <c r="E107" s="84"/>
      <c r="F107" s="90" t="s">
        <v>104</v>
      </c>
      <c r="G107" s="91"/>
      <c r="H107" s="91" t="s">
        <v>433</v>
      </c>
      <c r="I107" s="91"/>
      <c r="J107" s="91" t="s">
        <v>206</v>
      </c>
      <c r="K107" s="91"/>
      <c r="L107" s="91"/>
      <c r="M107" s="92"/>
      <c r="N107" s="91"/>
      <c r="O107" s="92"/>
      <c r="P107" s="89"/>
      <c r="Q107" s="78"/>
      <c r="R107" s="78"/>
      <c r="S107" s="78"/>
      <c r="T107" s="78"/>
    </row>
    <row r="108" spans="1:20" ht="25.5" x14ac:dyDescent="0.25">
      <c r="A108" s="80"/>
      <c r="B108" s="80"/>
      <c r="C108" s="82"/>
      <c r="D108" s="80"/>
      <c r="E108" s="18" t="s">
        <v>3</v>
      </c>
      <c r="F108" s="19" t="s">
        <v>15</v>
      </c>
      <c r="G108" s="20" t="s">
        <v>16</v>
      </c>
      <c r="H108" s="20" t="s">
        <v>15</v>
      </c>
      <c r="I108" s="20" t="s">
        <v>16</v>
      </c>
      <c r="J108" s="20" t="s">
        <v>15</v>
      </c>
      <c r="K108" s="62" t="s">
        <v>16</v>
      </c>
      <c r="L108" s="62" t="s">
        <v>15</v>
      </c>
      <c r="M108" s="21" t="s">
        <v>16</v>
      </c>
      <c r="N108" s="20" t="s">
        <v>15</v>
      </c>
      <c r="O108" s="21" t="s">
        <v>16</v>
      </c>
      <c r="P108" s="22" t="s">
        <v>24</v>
      </c>
      <c r="Q108" s="22" t="s">
        <v>5</v>
      </c>
      <c r="R108" s="22" t="s">
        <v>8</v>
      </c>
      <c r="S108" s="22" t="s">
        <v>9</v>
      </c>
      <c r="T108" s="20" t="s">
        <v>14</v>
      </c>
    </row>
    <row r="109" spans="1:20" hidden="1" x14ac:dyDescent="0.25">
      <c r="A109" s="11" t="s">
        <v>59</v>
      </c>
      <c r="B109" s="11" t="s">
        <v>60</v>
      </c>
      <c r="C109" s="14" t="s">
        <v>61</v>
      </c>
      <c r="D109" s="11" t="s">
        <v>62</v>
      </c>
      <c r="E109" s="8" t="s">
        <v>63</v>
      </c>
      <c r="F109" s="9" t="s">
        <v>64</v>
      </c>
      <c r="G109" s="6" t="s">
        <v>65</v>
      </c>
      <c r="H109" s="6" t="s">
        <v>66</v>
      </c>
      <c r="I109" s="6" t="s">
        <v>67</v>
      </c>
      <c r="J109" s="6" t="s">
        <v>68</v>
      </c>
      <c r="K109" s="6" t="s">
        <v>69</v>
      </c>
      <c r="L109" s="6" t="s">
        <v>70</v>
      </c>
      <c r="M109" s="7" t="s">
        <v>71</v>
      </c>
      <c r="N109" s="6" t="s">
        <v>72</v>
      </c>
      <c r="O109" s="7" t="s">
        <v>73</v>
      </c>
      <c r="P109" s="13" t="s">
        <v>74</v>
      </c>
      <c r="Q109" s="5" t="s">
        <v>75</v>
      </c>
      <c r="R109" s="1" t="s">
        <v>76</v>
      </c>
      <c r="S109" s="1" t="s">
        <v>77</v>
      </c>
      <c r="T109" s="12" t="s">
        <v>78</v>
      </c>
    </row>
    <row r="110" spans="1:20" ht="38.25" x14ac:dyDescent="0.25">
      <c r="A110" s="11">
        <v>1</v>
      </c>
      <c r="B110" s="11" t="s">
        <v>87</v>
      </c>
      <c r="C110" s="14" t="s">
        <v>42</v>
      </c>
      <c r="D110" s="11" t="s">
        <v>4</v>
      </c>
      <c r="E110" s="8">
        <v>2</v>
      </c>
      <c r="F110" s="9">
        <v>76702</v>
      </c>
      <c r="G110" s="6">
        <f>F110*$E110</f>
        <v>153404</v>
      </c>
      <c r="H110" s="6">
        <v>118819</v>
      </c>
      <c r="I110" s="6">
        <f>H110*$E110</f>
        <v>237638</v>
      </c>
      <c r="J110" s="6">
        <v>85000</v>
      </c>
      <c r="K110" s="6">
        <f>J110*$E110</f>
        <v>170000</v>
      </c>
      <c r="L110" s="6"/>
      <c r="M110" s="7">
        <f>L110*$E110</f>
        <v>0</v>
      </c>
      <c r="N110" s="6"/>
      <c r="O110" s="7">
        <f>N110*$E110</f>
        <v>0</v>
      </c>
      <c r="P110" s="13">
        <f>MEDIAN(J110,H110,F110,L110,N110)</f>
        <v>85000</v>
      </c>
      <c r="Q110" s="23" t="str">
        <f t="shared" ref="Q110" si="44">_xlfn.XLOOKUP(P110,F110:O110,$F$107:$O$107)</f>
        <v>V E GOMES ARAUJO EIRELI (MT SANEAMENTO)</v>
      </c>
      <c r="R110" s="1" t="str">
        <f>_xlfn.XLOOKUP(Q110,'RELAÇÃO DE FORNECEDORES'!$A$3:$A$287,'RELAÇÃO DE FORNECEDORES'!$B$3:$B$287)</f>
        <v>20.775.930/0001-24</v>
      </c>
      <c r="S110" s="1" t="str">
        <f>_xlfn.XLOOKUP(Q110,'RELAÇÃO DE FORNECEDORES'!$A$3:$A$287,'RELAÇÃO DE FORNECEDORES'!$E$3:$E$287)</f>
        <v>VICTOR ARAUJO</v>
      </c>
      <c r="T110" s="12">
        <f>_xlfn.XLOOKUP(Q110,'RELAÇÃO DE FORNECEDORES'!$A$3:$A$287,'RELAÇÃO DE FORNECEDORES'!$C$3:$C$287)</f>
        <v>44547</v>
      </c>
    </row>
    <row r="111" spans="1:20" ht="38.25" x14ac:dyDescent="0.25">
      <c r="A111" s="1">
        <v>2</v>
      </c>
      <c r="B111" s="1" t="s">
        <v>88</v>
      </c>
      <c r="C111" s="2" t="s">
        <v>89</v>
      </c>
      <c r="D111" s="11" t="s">
        <v>4</v>
      </c>
      <c r="E111" s="8">
        <v>2</v>
      </c>
      <c r="F111" s="9">
        <v>156947</v>
      </c>
      <c r="G111" s="6">
        <f>F111*$E111</f>
        <v>313894</v>
      </c>
      <c r="H111" s="6">
        <v>218222</v>
      </c>
      <c r="I111" s="6">
        <f>H111*$E111</f>
        <v>436444</v>
      </c>
      <c r="J111" s="6">
        <v>175000</v>
      </c>
      <c r="K111" s="6">
        <f>J111*$E111</f>
        <v>350000</v>
      </c>
      <c r="L111" s="6"/>
      <c r="M111" s="7">
        <f>L111*$E111</f>
        <v>0</v>
      </c>
      <c r="N111" s="15"/>
      <c r="O111" s="7">
        <f>N111*$E111</f>
        <v>0</v>
      </c>
      <c r="P111" s="13">
        <f>MEDIAN(J111,H111,F111,L111,N111)</f>
        <v>175000</v>
      </c>
      <c r="Q111" s="23" t="str">
        <f t="shared" ref="Q111" si="45">_xlfn.XLOOKUP(P111,F111:O111,$F$107:$O$107)</f>
        <v>V E GOMES ARAUJO EIRELI (MT SANEAMENTO)</v>
      </c>
      <c r="R111" s="1" t="str">
        <f>_xlfn.XLOOKUP(Q111,'RELAÇÃO DE FORNECEDORES'!$A$3:$A$287,'RELAÇÃO DE FORNECEDORES'!$B$3:$B$287)</f>
        <v>20.775.930/0001-24</v>
      </c>
      <c r="S111" s="1" t="str">
        <f>_xlfn.XLOOKUP(Q111,'RELAÇÃO DE FORNECEDORES'!$A$3:$A$287,'RELAÇÃO DE FORNECEDORES'!$E$3:$E$287)</f>
        <v>VICTOR ARAUJO</v>
      </c>
      <c r="T111" s="12">
        <f>_xlfn.XLOOKUP(Q111,'RELAÇÃO DE FORNECEDORES'!$A$3:$A$287,'RELAÇÃO DE FORNECEDORES'!$C$3:$C$287)</f>
        <v>44547</v>
      </c>
    </row>
    <row r="117" spans="1:20" x14ac:dyDescent="0.25">
      <c r="A117" s="96" t="s">
        <v>91</v>
      </c>
      <c r="B117" s="96"/>
      <c r="C117" s="96"/>
      <c r="D117" s="96"/>
      <c r="E117" s="96"/>
      <c r="F117" s="96"/>
      <c r="G117" s="96"/>
      <c r="H117" s="96"/>
      <c r="I117" s="96"/>
      <c r="J117" s="96"/>
      <c r="K117" s="96"/>
      <c r="L117" s="96"/>
      <c r="M117" s="96"/>
      <c r="N117" s="96"/>
      <c r="O117" s="96"/>
      <c r="P117" s="96"/>
      <c r="Q117" s="96"/>
      <c r="R117" s="96"/>
      <c r="S117" s="96"/>
      <c r="T117" s="96"/>
    </row>
    <row r="118" spans="1:20" x14ac:dyDescent="0.25">
      <c r="A118" s="93" t="s">
        <v>27</v>
      </c>
      <c r="B118" s="93"/>
      <c r="C118" s="93"/>
      <c r="D118" s="93"/>
      <c r="E118" s="94"/>
      <c r="F118" s="95" t="s">
        <v>23</v>
      </c>
      <c r="G118" s="93"/>
      <c r="H118" s="93"/>
      <c r="I118" s="93"/>
      <c r="J118" s="93"/>
      <c r="K118" s="93"/>
      <c r="L118" s="93"/>
      <c r="M118" s="93"/>
      <c r="N118" s="93"/>
      <c r="O118" s="94"/>
      <c r="P118" s="78" t="s">
        <v>25</v>
      </c>
      <c r="Q118" s="78"/>
      <c r="R118" s="78"/>
      <c r="S118" s="78"/>
      <c r="T118" s="78"/>
    </row>
    <row r="119" spans="1:20" ht="60.75" customHeight="1" x14ac:dyDescent="0.25">
      <c r="A119" s="79" t="s">
        <v>1</v>
      </c>
      <c r="B119" s="79" t="s">
        <v>13</v>
      </c>
      <c r="C119" s="81" t="s">
        <v>0</v>
      </c>
      <c r="D119" s="79" t="s">
        <v>2</v>
      </c>
      <c r="E119" s="83" t="s">
        <v>17</v>
      </c>
      <c r="F119" s="85" t="s">
        <v>6</v>
      </c>
      <c r="G119" s="86"/>
      <c r="H119" s="86" t="s">
        <v>18</v>
      </c>
      <c r="I119" s="86"/>
      <c r="J119" s="86" t="s">
        <v>19</v>
      </c>
      <c r="K119" s="86"/>
      <c r="L119" s="86" t="s">
        <v>20</v>
      </c>
      <c r="M119" s="87"/>
      <c r="N119" s="86" t="s">
        <v>21</v>
      </c>
      <c r="O119" s="87"/>
      <c r="P119" s="88" t="s">
        <v>26</v>
      </c>
      <c r="Q119" s="79"/>
      <c r="R119" s="79"/>
      <c r="S119" s="79"/>
      <c r="T119" s="79"/>
    </row>
    <row r="120" spans="1:20" ht="60.75" customHeight="1" x14ac:dyDescent="0.25">
      <c r="A120" s="80"/>
      <c r="B120" s="80"/>
      <c r="C120" s="82"/>
      <c r="D120" s="80"/>
      <c r="E120" s="84"/>
      <c r="F120" s="90" t="s">
        <v>31</v>
      </c>
      <c r="G120" s="91"/>
      <c r="H120" s="91" t="s">
        <v>46</v>
      </c>
      <c r="I120" s="91"/>
      <c r="J120" s="91" t="s">
        <v>464</v>
      </c>
      <c r="K120" s="91"/>
      <c r="L120" s="91"/>
      <c r="M120" s="92"/>
      <c r="N120" s="91"/>
      <c r="O120" s="92"/>
      <c r="P120" s="89"/>
      <c r="Q120" s="78"/>
      <c r="R120" s="78"/>
      <c r="S120" s="78"/>
      <c r="T120" s="78"/>
    </row>
    <row r="121" spans="1:20" ht="25.5" x14ac:dyDescent="0.25">
      <c r="A121" s="80"/>
      <c r="B121" s="80"/>
      <c r="C121" s="82"/>
      <c r="D121" s="80"/>
      <c r="E121" s="18" t="s">
        <v>3</v>
      </c>
      <c r="F121" s="19" t="s">
        <v>15</v>
      </c>
      <c r="G121" s="20" t="s">
        <v>16</v>
      </c>
      <c r="H121" s="20" t="s">
        <v>15</v>
      </c>
      <c r="I121" s="20" t="s">
        <v>16</v>
      </c>
      <c r="J121" s="20" t="s">
        <v>15</v>
      </c>
      <c r="K121" s="62" t="s">
        <v>16</v>
      </c>
      <c r="L121" s="62" t="s">
        <v>15</v>
      </c>
      <c r="M121" s="21" t="s">
        <v>16</v>
      </c>
      <c r="N121" s="20" t="s">
        <v>15</v>
      </c>
      <c r="O121" s="21" t="s">
        <v>16</v>
      </c>
      <c r="P121" s="22" t="s">
        <v>24</v>
      </c>
      <c r="Q121" s="22" t="s">
        <v>5</v>
      </c>
      <c r="R121" s="22" t="s">
        <v>8</v>
      </c>
      <c r="S121" s="22" t="s">
        <v>9</v>
      </c>
      <c r="T121" s="20" t="s">
        <v>14</v>
      </c>
    </row>
    <row r="122" spans="1:20" hidden="1" x14ac:dyDescent="0.25">
      <c r="A122" s="11" t="s">
        <v>59</v>
      </c>
      <c r="B122" s="11" t="s">
        <v>60</v>
      </c>
      <c r="C122" s="14" t="s">
        <v>61</v>
      </c>
      <c r="D122" s="11" t="s">
        <v>62</v>
      </c>
      <c r="E122" s="8" t="s">
        <v>63</v>
      </c>
      <c r="F122" s="9" t="s">
        <v>64</v>
      </c>
      <c r="G122" s="6" t="s">
        <v>65</v>
      </c>
      <c r="H122" s="6" t="s">
        <v>66</v>
      </c>
      <c r="I122" s="6" t="s">
        <v>67</v>
      </c>
      <c r="J122" s="6" t="s">
        <v>68</v>
      </c>
      <c r="K122" s="6" t="s">
        <v>69</v>
      </c>
      <c r="L122" s="6" t="s">
        <v>70</v>
      </c>
      <c r="M122" s="7" t="s">
        <v>71</v>
      </c>
      <c r="N122" s="6" t="s">
        <v>72</v>
      </c>
      <c r="O122" s="7" t="s">
        <v>73</v>
      </c>
      <c r="P122" s="13" t="s">
        <v>74</v>
      </c>
      <c r="Q122" s="5" t="s">
        <v>75</v>
      </c>
      <c r="R122" s="1" t="s">
        <v>76</v>
      </c>
      <c r="S122" s="1" t="s">
        <v>77</v>
      </c>
      <c r="T122" s="12" t="s">
        <v>78</v>
      </c>
    </row>
    <row r="123" spans="1:20" ht="114.75" x14ac:dyDescent="0.25">
      <c r="A123" s="11">
        <v>1</v>
      </c>
      <c r="B123" s="11" t="s">
        <v>93</v>
      </c>
      <c r="C123" s="14" t="s">
        <v>92</v>
      </c>
      <c r="D123" s="11" t="s">
        <v>4</v>
      </c>
      <c r="E123" s="8">
        <v>1</v>
      </c>
      <c r="F123" s="9">
        <v>2431671.19</v>
      </c>
      <c r="G123" s="6">
        <f>F123*$E123</f>
        <v>2431671.19</v>
      </c>
      <c r="H123" s="6">
        <v>2483372.8199999998</v>
      </c>
      <c r="I123" s="6">
        <f>H123*$E123</f>
        <v>2483372.8199999998</v>
      </c>
      <c r="J123" s="6">
        <v>2330497.2000000002</v>
      </c>
      <c r="K123" s="6">
        <f>J123*$E123</f>
        <v>2330497.2000000002</v>
      </c>
      <c r="L123" s="6"/>
      <c r="M123" s="7">
        <f>L123*$E123</f>
        <v>0</v>
      </c>
      <c r="N123" s="6"/>
      <c r="O123" s="7">
        <f>N123*$E123</f>
        <v>0</v>
      </c>
      <c r="P123" s="13">
        <f>MEDIAN(J123,H123,F123,L123,N123)</f>
        <v>2431671.19</v>
      </c>
      <c r="Q123" s="23" t="str">
        <f>_xlfn.XLOOKUP(P123,F123:O123,$F$120:$O$120)</f>
        <v>MARCON ENGENHARIA E CONSTRUÇÕES LTDA</v>
      </c>
      <c r="R123" s="1" t="str">
        <f>_xlfn.XLOOKUP(Q123,'RELAÇÃO DE FORNECEDORES'!$A$3:$A$287,'RELAÇÃO DE FORNECEDORES'!$B$3:$B$287)</f>
        <v>03.307.088/0001-87</v>
      </c>
      <c r="S123" s="1" t="str">
        <f>_xlfn.XLOOKUP(Q123,'RELAÇÃO DE FORNECEDORES'!$A$3:$A$287,'RELAÇÃO DE FORNECEDORES'!$E$3:$E$287)</f>
        <v>HERMUT RODRIGUES</v>
      </c>
      <c r="T123" s="12">
        <f>_xlfn.XLOOKUP(Q123,'RELAÇÃO DE FORNECEDORES'!$A$3:$A$287,'RELAÇÃO DE FORNECEDORES'!$C$3:$C$287)</f>
        <v>44327</v>
      </c>
    </row>
  </sheetData>
  <mergeCells count="100">
    <mergeCell ref="L119:M119"/>
    <mergeCell ref="N119:O119"/>
    <mergeCell ref="P119:T120"/>
    <mergeCell ref="F120:G120"/>
    <mergeCell ref="H120:I120"/>
    <mergeCell ref="J120:K120"/>
    <mergeCell ref="L120:M120"/>
    <mergeCell ref="N120:O120"/>
    <mergeCell ref="F119:G119"/>
    <mergeCell ref="H119:I119"/>
    <mergeCell ref="J119:K119"/>
    <mergeCell ref="A4:T4"/>
    <mergeCell ref="A5:E5"/>
    <mergeCell ref="F5:O5"/>
    <mergeCell ref="P5:T5"/>
    <mergeCell ref="A6:A8"/>
    <mergeCell ref="B6:B8"/>
    <mergeCell ref="C6:C8"/>
    <mergeCell ref="D6:D8"/>
    <mergeCell ref="E6:E7"/>
    <mergeCell ref="F6:G6"/>
    <mergeCell ref="F7:G7"/>
    <mergeCell ref="H7:I7"/>
    <mergeCell ref="J7:K7"/>
    <mergeCell ref="L7:M7"/>
    <mergeCell ref="N7:O7"/>
    <mergeCell ref="H6:I6"/>
    <mergeCell ref="J6:K6"/>
    <mergeCell ref="L6:M6"/>
    <mergeCell ref="N6:O6"/>
    <mergeCell ref="P6:T7"/>
    <mergeCell ref="A104:T104"/>
    <mergeCell ref="A42:T42"/>
    <mergeCell ref="A43:E43"/>
    <mergeCell ref="F43:O43"/>
    <mergeCell ref="P43:T43"/>
    <mergeCell ref="A44:A46"/>
    <mergeCell ref="B44:B46"/>
    <mergeCell ref="C44:C46"/>
    <mergeCell ref="D44:D46"/>
    <mergeCell ref="E44:E45"/>
    <mergeCell ref="F44:G44"/>
    <mergeCell ref="H44:I44"/>
    <mergeCell ref="A105:E105"/>
    <mergeCell ref="F105:O105"/>
    <mergeCell ref="P105:T105"/>
    <mergeCell ref="A106:A108"/>
    <mergeCell ref="B106:B108"/>
    <mergeCell ref="C106:C108"/>
    <mergeCell ref="D106:D108"/>
    <mergeCell ref="E106:E107"/>
    <mergeCell ref="F106:G106"/>
    <mergeCell ref="F107:G107"/>
    <mergeCell ref="H107:I107"/>
    <mergeCell ref="J107:K107"/>
    <mergeCell ref="L107:M107"/>
    <mergeCell ref="N107:O107"/>
    <mergeCell ref="H106:I106"/>
    <mergeCell ref="J106:K106"/>
    <mergeCell ref="L82:M82"/>
    <mergeCell ref="N82:O82"/>
    <mergeCell ref="A79:T79"/>
    <mergeCell ref="A80:E80"/>
    <mergeCell ref="A119:A121"/>
    <mergeCell ref="B119:B121"/>
    <mergeCell ref="C119:C121"/>
    <mergeCell ref="D119:D121"/>
    <mergeCell ref="E119:E120"/>
    <mergeCell ref="L106:M106"/>
    <mergeCell ref="N106:O106"/>
    <mergeCell ref="P106:T107"/>
    <mergeCell ref="A117:T117"/>
    <mergeCell ref="A118:E118"/>
    <mergeCell ref="F118:O118"/>
    <mergeCell ref="P118:T118"/>
    <mergeCell ref="J44:K44"/>
    <mergeCell ref="L44:M44"/>
    <mergeCell ref="N44:O44"/>
    <mergeCell ref="P44:T45"/>
    <mergeCell ref="F45:G45"/>
    <mergeCell ref="H45:I45"/>
    <mergeCell ref="J45:K45"/>
    <mergeCell ref="L45:M45"/>
    <mergeCell ref="N45:O45"/>
    <mergeCell ref="F80:O80"/>
    <mergeCell ref="P80:T80"/>
    <mergeCell ref="A81:A83"/>
    <mergeCell ref="B81:B83"/>
    <mergeCell ref="C81:C83"/>
    <mergeCell ref="D81:D83"/>
    <mergeCell ref="E81:E82"/>
    <mergeCell ref="F81:G81"/>
    <mergeCell ref="H81:I81"/>
    <mergeCell ref="J81:K81"/>
    <mergeCell ref="L81:M81"/>
    <mergeCell ref="N81:O81"/>
    <mergeCell ref="P81:T82"/>
    <mergeCell ref="F82:G82"/>
    <mergeCell ref="H82:I82"/>
    <mergeCell ref="J82:K82"/>
  </mergeCells>
  <phoneticPr fontId="7" type="noConversion"/>
  <pageMargins left="0.511811024" right="0.511811024" top="0.78740157499999996" bottom="0.78740157499999996" header="0.31496062000000002" footer="0.31496062000000002"/>
  <pageSetup paperSize="9" scale="45" orientation="landscape" horizontalDpi="4294967292" r:id="rId1"/>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'RELAÇÃO DE FORNECEDORES'!$A$3:$A$360</xm:f>
          </x14:formula1>
          <xm:sqref>F7:O7 F107:O107 F120:O120 F45:O45 F82:O82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6"/>
  <sheetViews>
    <sheetView showGridLines="0" showWhiteSpace="0" view="pageLayout" topLeftCell="D25" zoomScale="85" zoomScaleNormal="70" zoomScalePageLayoutView="85" workbookViewId="0">
      <selection activeCell="C133" sqref="C133"/>
    </sheetView>
  </sheetViews>
  <sheetFormatPr defaultColWidth="9.140625" defaultRowHeight="12.75" x14ac:dyDescent="0.25"/>
  <cols>
    <col min="1" max="1" width="11.85546875" style="1" customWidth="1"/>
    <col min="2" max="2" width="9.7109375" style="1" customWidth="1"/>
    <col min="3" max="3" width="31.140625" style="2" customWidth="1"/>
    <col min="4" max="4" width="9.7109375" style="1" customWidth="1"/>
    <col min="5" max="5" width="10.7109375" style="3" customWidth="1"/>
    <col min="6" max="11" width="15.28515625" style="3" customWidth="1"/>
    <col min="12" max="15" width="15.28515625" style="3" hidden="1" customWidth="1"/>
    <col min="16" max="16" width="15.28515625" style="3" customWidth="1"/>
    <col min="17" max="17" width="36.85546875" style="3" customWidth="1"/>
    <col min="18" max="18" width="19.85546875" style="3" customWidth="1"/>
    <col min="19" max="19" width="22.5703125" style="3" customWidth="1"/>
    <col min="20" max="20" width="12" style="3" customWidth="1"/>
    <col min="21" max="16384" width="9.140625" style="3"/>
  </cols>
  <sheetData>
    <row r="1" spans="1:20" x14ac:dyDescent="0.25">
      <c r="A1" s="17" t="s">
        <v>52</v>
      </c>
      <c r="B1" s="16" t="s">
        <v>54</v>
      </c>
    </row>
    <row r="2" spans="1:20" x14ac:dyDescent="0.25">
      <c r="A2" s="17" t="s">
        <v>53</v>
      </c>
      <c r="B2" s="16" t="s">
        <v>96</v>
      </c>
    </row>
    <row r="3" spans="1:20" x14ac:dyDescent="0.25">
      <c r="A3" s="17"/>
      <c r="B3" s="16"/>
    </row>
    <row r="4" spans="1:20" x14ac:dyDescent="0.25">
      <c r="A4" s="96" t="s">
        <v>55</v>
      </c>
      <c r="B4" s="96"/>
      <c r="C4" s="96"/>
      <c r="D4" s="96"/>
      <c r="E4" s="96"/>
      <c r="F4" s="96"/>
      <c r="G4" s="96"/>
      <c r="H4" s="96"/>
      <c r="I4" s="96"/>
      <c r="J4" s="96"/>
      <c r="K4" s="96"/>
      <c r="L4" s="96"/>
      <c r="M4" s="96"/>
      <c r="N4" s="96"/>
      <c r="O4" s="96"/>
      <c r="P4" s="96"/>
      <c r="Q4" s="96"/>
      <c r="R4" s="96"/>
      <c r="S4" s="96"/>
      <c r="T4" s="96"/>
    </row>
    <row r="5" spans="1:20" x14ac:dyDescent="0.25">
      <c r="A5" s="93" t="s">
        <v>27</v>
      </c>
      <c r="B5" s="93"/>
      <c r="C5" s="93"/>
      <c r="D5" s="93"/>
      <c r="E5" s="94"/>
      <c r="F5" s="95" t="s">
        <v>23</v>
      </c>
      <c r="G5" s="93"/>
      <c r="H5" s="93"/>
      <c r="I5" s="93"/>
      <c r="J5" s="93"/>
      <c r="K5" s="93"/>
      <c r="L5" s="93"/>
      <c r="M5" s="93"/>
      <c r="N5" s="93"/>
      <c r="O5" s="94"/>
      <c r="P5" s="78" t="s">
        <v>25</v>
      </c>
      <c r="Q5" s="78"/>
      <c r="R5" s="78"/>
      <c r="S5" s="78"/>
      <c r="T5" s="78"/>
    </row>
    <row r="6" spans="1:20" ht="60" customHeight="1" x14ac:dyDescent="0.25">
      <c r="A6" s="79" t="s">
        <v>1</v>
      </c>
      <c r="B6" s="79" t="s">
        <v>13</v>
      </c>
      <c r="C6" s="81" t="s">
        <v>0</v>
      </c>
      <c r="D6" s="79" t="s">
        <v>2</v>
      </c>
      <c r="E6" s="83" t="s">
        <v>17</v>
      </c>
      <c r="F6" s="85" t="s">
        <v>6</v>
      </c>
      <c r="G6" s="86"/>
      <c r="H6" s="86" t="s">
        <v>18</v>
      </c>
      <c r="I6" s="86"/>
      <c r="J6" s="86" t="s">
        <v>19</v>
      </c>
      <c r="K6" s="87"/>
      <c r="L6" s="86" t="s">
        <v>20</v>
      </c>
      <c r="M6" s="86"/>
      <c r="N6" s="86" t="s">
        <v>21</v>
      </c>
      <c r="O6" s="87"/>
      <c r="P6" s="88" t="s">
        <v>26</v>
      </c>
      <c r="Q6" s="79"/>
      <c r="R6" s="79"/>
      <c r="S6" s="79"/>
      <c r="T6" s="79"/>
    </row>
    <row r="7" spans="1:20" ht="42.75" customHeight="1" x14ac:dyDescent="0.25">
      <c r="A7" s="80"/>
      <c r="B7" s="80"/>
      <c r="C7" s="82"/>
      <c r="D7" s="80"/>
      <c r="E7" s="84"/>
      <c r="F7" s="90" t="s">
        <v>202</v>
      </c>
      <c r="G7" s="91"/>
      <c r="H7" s="91" t="s">
        <v>206</v>
      </c>
      <c r="I7" s="91"/>
      <c r="J7" s="91" t="s">
        <v>210</v>
      </c>
      <c r="K7" s="92"/>
      <c r="L7" s="91"/>
      <c r="M7" s="91"/>
      <c r="N7" s="91"/>
      <c r="O7" s="92"/>
      <c r="P7" s="89"/>
      <c r="Q7" s="78"/>
      <c r="R7" s="78"/>
      <c r="S7" s="78"/>
      <c r="T7" s="78"/>
    </row>
    <row r="8" spans="1:20" s="4" customFormat="1" ht="25.5" x14ac:dyDescent="0.25">
      <c r="A8" s="80"/>
      <c r="B8" s="80"/>
      <c r="C8" s="82"/>
      <c r="D8" s="80"/>
      <c r="E8" s="18" t="s">
        <v>3</v>
      </c>
      <c r="F8" s="19" t="s">
        <v>15</v>
      </c>
      <c r="G8" s="20" t="s">
        <v>16</v>
      </c>
      <c r="H8" s="20" t="s">
        <v>15</v>
      </c>
      <c r="I8" s="20" t="s">
        <v>16</v>
      </c>
      <c r="J8" s="20" t="s">
        <v>15</v>
      </c>
      <c r="K8" s="21" t="s">
        <v>16</v>
      </c>
      <c r="L8" s="20" t="s">
        <v>15</v>
      </c>
      <c r="M8" s="20" t="s">
        <v>16</v>
      </c>
      <c r="N8" s="20" t="s">
        <v>15</v>
      </c>
      <c r="O8" s="21" t="s">
        <v>16</v>
      </c>
      <c r="P8" s="22" t="s">
        <v>24</v>
      </c>
      <c r="Q8" s="22" t="s">
        <v>5</v>
      </c>
      <c r="R8" s="22" t="s">
        <v>8</v>
      </c>
      <c r="S8" s="22" t="s">
        <v>9</v>
      </c>
      <c r="T8" s="20" t="s">
        <v>14</v>
      </c>
    </row>
    <row r="9" spans="1:20" hidden="1" x14ac:dyDescent="0.25">
      <c r="A9" s="11" t="s">
        <v>59</v>
      </c>
      <c r="B9" s="11" t="s">
        <v>60</v>
      </c>
      <c r="C9" s="14" t="s">
        <v>61</v>
      </c>
      <c r="D9" s="11" t="s">
        <v>62</v>
      </c>
      <c r="E9" s="8" t="s">
        <v>63</v>
      </c>
      <c r="F9" s="9" t="s">
        <v>64</v>
      </c>
      <c r="G9" s="6" t="s">
        <v>65</v>
      </c>
      <c r="H9" s="6" t="s">
        <v>66</v>
      </c>
      <c r="I9" s="6" t="s">
        <v>67</v>
      </c>
      <c r="J9" s="6" t="s">
        <v>68</v>
      </c>
      <c r="K9" s="7" t="s">
        <v>69</v>
      </c>
      <c r="L9" s="6" t="s">
        <v>70</v>
      </c>
      <c r="M9" s="6" t="s">
        <v>71</v>
      </c>
      <c r="N9" s="6" t="s">
        <v>72</v>
      </c>
      <c r="O9" s="7" t="s">
        <v>73</v>
      </c>
      <c r="P9" s="13" t="s">
        <v>74</v>
      </c>
      <c r="Q9" s="5" t="s">
        <v>75</v>
      </c>
      <c r="R9" s="1" t="s">
        <v>76</v>
      </c>
      <c r="S9" s="1" t="s">
        <v>77</v>
      </c>
      <c r="T9" s="12" t="s">
        <v>78</v>
      </c>
    </row>
    <row r="10" spans="1:20" ht="25.5" x14ac:dyDescent="0.25">
      <c r="A10" s="11">
        <v>1</v>
      </c>
      <c r="B10" s="11" t="s">
        <v>384</v>
      </c>
      <c r="C10" s="14" t="s">
        <v>347</v>
      </c>
      <c r="D10" s="11" t="s">
        <v>4</v>
      </c>
      <c r="E10" s="8">
        <v>1</v>
      </c>
      <c r="F10" s="9">
        <v>4997.54</v>
      </c>
      <c r="G10" s="6">
        <f t="shared" ref="G10" si="0">F10*$E10</f>
        <v>4997.54</v>
      </c>
      <c r="H10" s="6">
        <v>8080</v>
      </c>
      <c r="I10" s="6">
        <f t="shared" ref="I10" si="1">H10*$E10</f>
        <v>8080</v>
      </c>
      <c r="J10" s="6">
        <v>5195.5</v>
      </c>
      <c r="K10" s="7">
        <f t="shared" ref="K10" si="2">J10*$E10</f>
        <v>5195.5</v>
      </c>
      <c r="L10" s="6"/>
      <c r="M10" s="6">
        <f t="shared" ref="M10:M16" si="3">L10*$E10</f>
        <v>0</v>
      </c>
      <c r="N10" s="6"/>
      <c r="O10" s="7">
        <f t="shared" ref="O10:O16" si="4">N10*$E10</f>
        <v>0</v>
      </c>
      <c r="P10" s="13">
        <f t="shared" ref="P10:P16" si="5">MEDIAN(J10,H10,F10,L10,N10)</f>
        <v>5195.5</v>
      </c>
      <c r="Q10" s="5" t="str">
        <f t="shared" ref="Q10:Q16" si="6">_xlfn.XLOOKUP(P10,F10:O10,$F$7:$O$7)</f>
        <v>DTS SANEAMENTO VÁLVULAS E CONEXÕES LTDA</v>
      </c>
      <c r="R10" s="1" t="str">
        <f>_xlfn.XLOOKUP(Q10,'RELAÇÃO DE FORNECEDORES'!$A$3:$A$287,'RELAÇÃO DE FORNECEDORES'!$B$3:$B$287)</f>
        <v>30.194.330/0001-26</v>
      </c>
      <c r="S10" s="1" t="str">
        <f>_xlfn.XLOOKUP(Q10,'RELAÇÃO DE FORNECEDORES'!$A$3:$A$287,'RELAÇÃO DE FORNECEDORES'!$E$3:$E$287)</f>
        <v>GILVAN MARTINS</v>
      </c>
      <c r="T10" s="12">
        <f>_xlfn.XLOOKUP(Q10,'RELAÇÃO DE FORNECEDORES'!$A$3:$A$287,'RELAÇÃO DE FORNECEDORES'!$C$3:$C$287)</f>
        <v>44546</v>
      </c>
    </row>
    <row r="11" spans="1:20" ht="25.5" x14ac:dyDescent="0.25">
      <c r="A11" s="11">
        <v>2</v>
      </c>
      <c r="B11" s="11" t="s">
        <v>385</v>
      </c>
      <c r="C11" s="14" t="s">
        <v>336</v>
      </c>
      <c r="D11" s="11" t="s">
        <v>4</v>
      </c>
      <c r="E11" s="8">
        <v>2</v>
      </c>
      <c r="F11" s="9">
        <v>9854.73</v>
      </c>
      <c r="G11" s="6">
        <f t="shared" ref="G11:G58" si="7">F11*$E11</f>
        <v>19709.46</v>
      </c>
      <c r="H11" s="6">
        <v>15900</v>
      </c>
      <c r="I11" s="6">
        <f t="shared" ref="I11:I58" si="8">H11*$E11</f>
        <v>31800</v>
      </c>
      <c r="J11" s="6">
        <v>10242</v>
      </c>
      <c r="K11" s="7">
        <f t="shared" ref="K11:K58" si="9">J11*$E11</f>
        <v>20484</v>
      </c>
      <c r="L11" s="6"/>
      <c r="M11" s="6">
        <f t="shared" si="3"/>
        <v>0</v>
      </c>
      <c r="N11" s="6"/>
      <c r="O11" s="7">
        <f t="shared" si="4"/>
        <v>0</v>
      </c>
      <c r="P11" s="13">
        <f t="shared" si="5"/>
        <v>10242</v>
      </c>
      <c r="Q11" s="5" t="str">
        <f t="shared" si="6"/>
        <v>DTS SANEAMENTO VÁLVULAS E CONEXÕES LTDA</v>
      </c>
      <c r="R11" s="1" t="str">
        <f>_xlfn.XLOOKUP(Q11,'RELAÇÃO DE FORNECEDORES'!$A$3:$A$287,'RELAÇÃO DE FORNECEDORES'!$B$3:$B$287)</f>
        <v>30.194.330/0001-26</v>
      </c>
      <c r="S11" s="1" t="str">
        <f>_xlfn.XLOOKUP(Q11,'RELAÇÃO DE FORNECEDORES'!$A$3:$A$287,'RELAÇÃO DE FORNECEDORES'!$E$3:$E$287)</f>
        <v>GILVAN MARTINS</v>
      </c>
      <c r="T11" s="12">
        <f>_xlfn.XLOOKUP(Q11,'RELAÇÃO DE FORNECEDORES'!$A$3:$A$287,'RELAÇÃO DE FORNECEDORES'!$C$3:$C$287)</f>
        <v>44546</v>
      </c>
    </row>
    <row r="12" spans="1:20" ht="25.5" x14ac:dyDescent="0.25">
      <c r="A12" s="11">
        <v>3</v>
      </c>
      <c r="B12" s="11" t="s">
        <v>386</v>
      </c>
      <c r="C12" s="14" t="s">
        <v>182</v>
      </c>
      <c r="D12" s="11" t="s">
        <v>4</v>
      </c>
      <c r="E12" s="8">
        <v>2</v>
      </c>
      <c r="F12" s="9">
        <v>5918.94</v>
      </c>
      <c r="G12" s="6">
        <f t="shared" si="7"/>
        <v>11837.88</v>
      </c>
      <c r="H12" s="6">
        <v>9190</v>
      </c>
      <c r="I12" s="6">
        <f t="shared" si="8"/>
        <v>18380</v>
      </c>
      <c r="J12" s="6">
        <v>6177</v>
      </c>
      <c r="K12" s="7">
        <f t="shared" si="9"/>
        <v>12354</v>
      </c>
      <c r="L12" s="6"/>
      <c r="M12" s="6">
        <f t="shared" si="3"/>
        <v>0</v>
      </c>
      <c r="N12" s="6"/>
      <c r="O12" s="7">
        <f t="shared" si="4"/>
        <v>0</v>
      </c>
      <c r="P12" s="13">
        <f t="shared" si="5"/>
        <v>6177</v>
      </c>
      <c r="Q12" s="5" t="str">
        <f t="shared" si="6"/>
        <v>DTS SANEAMENTO VÁLVULAS E CONEXÕES LTDA</v>
      </c>
      <c r="R12" s="1" t="str">
        <f>_xlfn.XLOOKUP(Q12,'RELAÇÃO DE FORNECEDORES'!$A$3:$A$287,'RELAÇÃO DE FORNECEDORES'!$B$3:$B$287)</f>
        <v>30.194.330/0001-26</v>
      </c>
      <c r="S12" s="1" t="str">
        <f>_xlfn.XLOOKUP(Q12,'RELAÇÃO DE FORNECEDORES'!$A$3:$A$287,'RELAÇÃO DE FORNECEDORES'!$E$3:$E$287)</f>
        <v>GILVAN MARTINS</v>
      </c>
      <c r="T12" s="12">
        <f>_xlfn.XLOOKUP(Q12,'RELAÇÃO DE FORNECEDORES'!$A$3:$A$287,'RELAÇÃO DE FORNECEDORES'!$C$3:$C$287)</f>
        <v>44546</v>
      </c>
    </row>
    <row r="13" spans="1:20" ht="25.5" x14ac:dyDescent="0.25">
      <c r="A13" s="11">
        <v>4</v>
      </c>
      <c r="B13" s="11" t="s">
        <v>387</v>
      </c>
      <c r="C13" s="14" t="s">
        <v>348</v>
      </c>
      <c r="D13" s="11" t="s">
        <v>4</v>
      </c>
      <c r="E13" s="8">
        <v>1</v>
      </c>
      <c r="F13" s="9">
        <v>2839.87</v>
      </c>
      <c r="G13" s="6">
        <f t="shared" si="7"/>
        <v>2839.87</v>
      </c>
      <c r="H13" s="6">
        <v>3860</v>
      </c>
      <c r="I13" s="6">
        <f t="shared" si="8"/>
        <v>3860</v>
      </c>
      <c r="J13" s="6">
        <v>2970.8</v>
      </c>
      <c r="K13" s="7">
        <f t="shared" si="9"/>
        <v>2970.8</v>
      </c>
      <c r="L13" s="6"/>
      <c r="M13" s="6">
        <f t="shared" si="3"/>
        <v>0</v>
      </c>
      <c r="N13" s="6"/>
      <c r="O13" s="7">
        <f t="shared" si="4"/>
        <v>0</v>
      </c>
      <c r="P13" s="13">
        <f t="shared" si="5"/>
        <v>2970.8</v>
      </c>
      <c r="Q13" s="5" t="str">
        <f t="shared" si="6"/>
        <v>DTS SANEAMENTO VÁLVULAS E CONEXÕES LTDA</v>
      </c>
      <c r="R13" s="1" t="str">
        <f>_xlfn.XLOOKUP(Q13,'RELAÇÃO DE FORNECEDORES'!$A$3:$A$287,'RELAÇÃO DE FORNECEDORES'!$B$3:$B$287)</f>
        <v>30.194.330/0001-26</v>
      </c>
      <c r="S13" s="1" t="str">
        <f>_xlfn.XLOOKUP(Q13,'RELAÇÃO DE FORNECEDORES'!$A$3:$A$287,'RELAÇÃO DE FORNECEDORES'!$E$3:$E$287)</f>
        <v>GILVAN MARTINS</v>
      </c>
      <c r="T13" s="12">
        <f>_xlfn.XLOOKUP(Q13,'RELAÇÃO DE FORNECEDORES'!$A$3:$A$287,'RELAÇÃO DE FORNECEDORES'!$C$3:$C$287)</f>
        <v>44546</v>
      </c>
    </row>
    <row r="14" spans="1:20" ht="25.5" x14ac:dyDescent="0.25">
      <c r="A14" s="11">
        <v>5</v>
      </c>
      <c r="B14" s="11" t="s">
        <v>388</v>
      </c>
      <c r="C14" s="14" t="s">
        <v>333</v>
      </c>
      <c r="D14" s="11" t="s">
        <v>4</v>
      </c>
      <c r="E14" s="8">
        <v>1</v>
      </c>
      <c r="F14" s="9">
        <v>1125.21</v>
      </c>
      <c r="G14" s="6">
        <f t="shared" si="7"/>
        <v>1125.21</v>
      </c>
      <c r="H14" s="6">
        <v>1420</v>
      </c>
      <c r="I14" s="6">
        <f t="shared" si="8"/>
        <v>1420</v>
      </c>
      <c r="J14" s="6">
        <v>1172.5</v>
      </c>
      <c r="K14" s="7">
        <f t="shared" si="9"/>
        <v>1172.5</v>
      </c>
      <c r="L14" s="6"/>
      <c r="M14" s="6">
        <f t="shared" si="3"/>
        <v>0</v>
      </c>
      <c r="N14" s="6"/>
      <c r="O14" s="7">
        <f t="shared" si="4"/>
        <v>0</v>
      </c>
      <c r="P14" s="13">
        <f t="shared" si="5"/>
        <v>1172.5</v>
      </c>
      <c r="Q14" s="5" t="str">
        <f t="shared" si="6"/>
        <v>DTS SANEAMENTO VÁLVULAS E CONEXÕES LTDA</v>
      </c>
      <c r="R14" s="1" t="str">
        <f>_xlfn.XLOOKUP(Q14,'RELAÇÃO DE FORNECEDORES'!$A$3:$A$287,'RELAÇÃO DE FORNECEDORES'!$B$3:$B$287)</f>
        <v>30.194.330/0001-26</v>
      </c>
      <c r="S14" s="1" t="str">
        <f>_xlfn.XLOOKUP(Q14,'RELAÇÃO DE FORNECEDORES'!$A$3:$A$287,'RELAÇÃO DE FORNECEDORES'!$E$3:$E$287)</f>
        <v>GILVAN MARTINS</v>
      </c>
      <c r="T14" s="12">
        <f>_xlfn.XLOOKUP(Q14,'RELAÇÃO DE FORNECEDORES'!$A$3:$A$287,'RELAÇÃO DE FORNECEDORES'!$C$3:$C$287)</f>
        <v>44546</v>
      </c>
    </row>
    <row r="15" spans="1:20" ht="25.5" x14ac:dyDescent="0.25">
      <c r="A15" s="11">
        <v>6</v>
      </c>
      <c r="B15" s="11" t="s">
        <v>389</v>
      </c>
      <c r="C15" s="27" t="s">
        <v>349</v>
      </c>
      <c r="D15" s="11" t="s">
        <v>4</v>
      </c>
      <c r="E15" s="8">
        <v>1</v>
      </c>
      <c r="F15" s="9">
        <v>4137.16</v>
      </c>
      <c r="G15" s="6">
        <f t="shared" si="7"/>
        <v>4137.16</v>
      </c>
      <c r="H15" s="6">
        <v>6600</v>
      </c>
      <c r="I15" s="6">
        <f t="shared" si="8"/>
        <v>6600</v>
      </c>
      <c r="J15" s="6">
        <v>4301.5</v>
      </c>
      <c r="K15" s="7">
        <f t="shared" si="9"/>
        <v>4301.5</v>
      </c>
      <c r="L15" s="6"/>
      <c r="M15" s="6">
        <f t="shared" si="3"/>
        <v>0</v>
      </c>
      <c r="N15" s="6"/>
      <c r="O15" s="7">
        <f t="shared" si="4"/>
        <v>0</v>
      </c>
      <c r="P15" s="13">
        <f t="shared" si="5"/>
        <v>4301.5</v>
      </c>
      <c r="Q15" s="5" t="str">
        <f t="shared" si="6"/>
        <v>DTS SANEAMENTO VÁLVULAS E CONEXÕES LTDA</v>
      </c>
      <c r="R15" s="1" t="str">
        <f>_xlfn.XLOOKUP(Q15,'RELAÇÃO DE FORNECEDORES'!$A$3:$A$287,'RELAÇÃO DE FORNECEDORES'!$B$3:$B$287)</f>
        <v>30.194.330/0001-26</v>
      </c>
      <c r="S15" s="1" t="str">
        <f>_xlfn.XLOOKUP(Q15,'RELAÇÃO DE FORNECEDORES'!$A$3:$A$287,'RELAÇÃO DE FORNECEDORES'!$E$3:$E$287)</f>
        <v>GILVAN MARTINS</v>
      </c>
      <c r="T15" s="12">
        <f>_xlfn.XLOOKUP(Q15,'RELAÇÃO DE FORNECEDORES'!$A$3:$A$287,'RELAÇÃO DE FORNECEDORES'!$C$3:$C$287)</f>
        <v>44546</v>
      </c>
    </row>
    <row r="16" spans="1:20" ht="25.5" x14ac:dyDescent="0.25">
      <c r="A16" s="11">
        <v>7</v>
      </c>
      <c r="B16" s="11" t="s">
        <v>390</v>
      </c>
      <c r="C16" s="27" t="s">
        <v>350</v>
      </c>
      <c r="D16" s="11" t="s">
        <v>4</v>
      </c>
      <c r="E16" s="8">
        <v>1</v>
      </c>
      <c r="F16" s="9">
        <v>2941.16</v>
      </c>
      <c r="G16" s="6">
        <f t="shared" si="7"/>
        <v>2941.16</v>
      </c>
      <c r="H16" s="6">
        <v>4000</v>
      </c>
      <c r="I16" s="6">
        <f t="shared" si="8"/>
        <v>4000</v>
      </c>
      <c r="J16" s="6">
        <v>3075.1</v>
      </c>
      <c r="K16" s="7">
        <f t="shared" si="9"/>
        <v>3075.1</v>
      </c>
      <c r="L16" s="6"/>
      <c r="M16" s="6">
        <f t="shared" si="3"/>
        <v>0</v>
      </c>
      <c r="N16" s="6"/>
      <c r="O16" s="7">
        <f t="shared" si="4"/>
        <v>0</v>
      </c>
      <c r="P16" s="13">
        <f t="shared" si="5"/>
        <v>3075.1</v>
      </c>
      <c r="Q16" s="5" t="str">
        <f t="shared" si="6"/>
        <v>DTS SANEAMENTO VÁLVULAS E CONEXÕES LTDA</v>
      </c>
      <c r="R16" s="1" t="str">
        <f>_xlfn.XLOOKUP(Q16,'RELAÇÃO DE FORNECEDORES'!$A$3:$A$287,'RELAÇÃO DE FORNECEDORES'!$B$3:$B$287)</f>
        <v>30.194.330/0001-26</v>
      </c>
      <c r="S16" s="1" t="str">
        <f>_xlfn.XLOOKUP(Q16,'RELAÇÃO DE FORNECEDORES'!$A$3:$A$287,'RELAÇÃO DE FORNECEDORES'!$E$3:$E$287)</f>
        <v>GILVAN MARTINS</v>
      </c>
      <c r="T16" s="12">
        <f>_xlfn.XLOOKUP(Q16,'RELAÇÃO DE FORNECEDORES'!$A$3:$A$287,'RELAÇÃO DE FORNECEDORES'!$C$3:$C$287)</f>
        <v>44546</v>
      </c>
    </row>
    <row r="17" spans="1:20" ht="25.5" x14ac:dyDescent="0.25">
      <c r="A17" s="11">
        <v>8</v>
      </c>
      <c r="B17" s="11" t="s">
        <v>391</v>
      </c>
      <c r="C17" s="27" t="s">
        <v>351</v>
      </c>
      <c r="D17" s="11" t="s">
        <v>4</v>
      </c>
      <c r="E17" s="8">
        <v>1</v>
      </c>
      <c r="F17" s="9">
        <v>3446.41</v>
      </c>
      <c r="G17" s="6">
        <f t="shared" si="7"/>
        <v>3446.41</v>
      </c>
      <c r="H17" s="6">
        <v>2200</v>
      </c>
      <c r="I17" s="6">
        <f t="shared" si="8"/>
        <v>2200</v>
      </c>
      <c r="J17" s="6">
        <v>2380</v>
      </c>
      <c r="K17" s="7">
        <f t="shared" si="9"/>
        <v>2380</v>
      </c>
      <c r="L17" s="6"/>
      <c r="M17" s="6">
        <f t="shared" ref="M17:M19" si="10">L17*$E20</f>
        <v>0</v>
      </c>
      <c r="N17" s="6"/>
      <c r="O17" s="7">
        <f t="shared" ref="O17:O19" si="11">N17*$E20</f>
        <v>0</v>
      </c>
      <c r="P17" s="13">
        <f t="shared" ref="P17:P19" si="12">MEDIAN(J17,H17,F17,L17,N17)</f>
        <v>2380</v>
      </c>
      <c r="Q17" s="5" t="str">
        <f t="shared" ref="Q17:Q19" si="13">_xlfn.XLOOKUP(P17,F17:O17,$F$7:$O$7)</f>
        <v>DTS SANEAMENTO VÁLVULAS E CONEXÕES LTDA</v>
      </c>
      <c r="R17" s="1" t="str">
        <f>_xlfn.XLOOKUP(Q17,'RELAÇÃO DE FORNECEDORES'!$A$3:$A$287,'RELAÇÃO DE FORNECEDORES'!$B$3:$B$287)</f>
        <v>30.194.330/0001-26</v>
      </c>
      <c r="S17" s="1" t="str">
        <f>_xlfn.XLOOKUP(Q17,'RELAÇÃO DE FORNECEDORES'!$A$3:$A$287,'RELAÇÃO DE FORNECEDORES'!$E$3:$E$287)</f>
        <v>GILVAN MARTINS</v>
      </c>
      <c r="T17" s="12">
        <f>_xlfn.XLOOKUP(Q17,'RELAÇÃO DE FORNECEDORES'!$A$3:$A$287,'RELAÇÃO DE FORNECEDORES'!$C$3:$C$287)</f>
        <v>44546</v>
      </c>
    </row>
    <row r="18" spans="1:20" ht="25.5" x14ac:dyDescent="0.25">
      <c r="A18" s="11">
        <v>9</v>
      </c>
      <c r="B18" s="11" t="s">
        <v>392</v>
      </c>
      <c r="C18" s="27" t="s">
        <v>352</v>
      </c>
      <c r="D18" s="11" t="s">
        <v>4</v>
      </c>
      <c r="E18" s="8">
        <v>1</v>
      </c>
      <c r="F18" s="9">
        <v>1354.64</v>
      </c>
      <c r="G18" s="6">
        <f t="shared" si="7"/>
        <v>1354.64</v>
      </c>
      <c r="H18" s="6">
        <v>1600</v>
      </c>
      <c r="I18" s="6">
        <f t="shared" si="8"/>
        <v>1600</v>
      </c>
      <c r="J18" s="6">
        <v>779.05</v>
      </c>
      <c r="K18" s="7">
        <f t="shared" si="9"/>
        <v>779.05</v>
      </c>
      <c r="L18" s="6"/>
      <c r="M18" s="6">
        <f t="shared" si="10"/>
        <v>0</v>
      </c>
      <c r="N18" s="6"/>
      <c r="O18" s="7">
        <f t="shared" si="11"/>
        <v>0</v>
      </c>
      <c r="P18" s="13">
        <f t="shared" si="12"/>
        <v>1354.64</v>
      </c>
      <c r="Q18" s="5" t="str">
        <f t="shared" si="13"/>
        <v>ANGOLINI &amp; ANGOLINI LTDA</v>
      </c>
      <c r="R18" s="1" t="str">
        <f>_xlfn.XLOOKUP(Q18,'RELAÇÃO DE FORNECEDORES'!$A$3:$A$287,'RELAÇÃO DE FORNECEDORES'!$B$3:$B$287)</f>
        <v>44.829.653/0001-53</v>
      </c>
      <c r="S18" s="1" t="str">
        <f>_xlfn.XLOOKUP(Q18,'RELAÇÃO DE FORNECEDORES'!$A$3:$A$287,'RELAÇÃO DE FORNECEDORES'!$E$3:$E$287)</f>
        <v>ANTÔNIO CANDIDO</v>
      </c>
      <c r="T18" s="12">
        <f>_xlfn.XLOOKUP(Q18,'RELAÇÃO DE FORNECEDORES'!$A$3:$A$287,'RELAÇÃO DE FORNECEDORES'!$C$3:$C$287)</f>
        <v>44547</v>
      </c>
    </row>
    <row r="19" spans="1:20" ht="38.25" x14ac:dyDescent="0.25">
      <c r="A19" s="11">
        <v>10</v>
      </c>
      <c r="B19" s="11" t="s">
        <v>393</v>
      </c>
      <c r="C19" s="27" t="s">
        <v>353</v>
      </c>
      <c r="D19" s="11" t="s">
        <v>4</v>
      </c>
      <c r="E19" s="8">
        <v>1</v>
      </c>
      <c r="F19" s="9">
        <v>6277.74</v>
      </c>
      <c r="G19" s="6">
        <f t="shared" si="7"/>
        <v>6277.74</v>
      </c>
      <c r="H19" s="6">
        <v>5500</v>
      </c>
      <c r="I19" s="6">
        <f t="shared" si="8"/>
        <v>5500</v>
      </c>
      <c r="J19" s="6">
        <v>5767</v>
      </c>
      <c r="K19" s="7">
        <f t="shared" si="9"/>
        <v>5767</v>
      </c>
      <c r="L19" s="6"/>
      <c r="M19" s="6">
        <f t="shared" si="10"/>
        <v>0</v>
      </c>
      <c r="N19" s="6"/>
      <c r="O19" s="7">
        <f t="shared" si="11"/>
        <v>0</v>
      </c>
      <c r="P19" s="13">
        <f t="shared" si="12"/>
        <v>5767</v>
      </c>
      <c r="Q19" s="5" t="str">
        <f t="shared" si="13"/>
        <v>DTS SANEAMENTO VÁLVULAS E CONEXÕES LTDA</v>
      </c>
      <c r="R19" s="1" t="str">
        <f>_xlfn.XLOOKUP(Q19,'RELAÇÃO DE FORNECEDORES'!$A$3:$A$287,'RELAÇÃO DE FORNECEDORES'!$B$3:$B$287)</f>
        <v>30.194.330/0001-26</v>
      </c>
      <c r="S19" s="1" t="str">
        <f>_xlfn.XLOOKUP(Q19,'RELAÇÃO DE FORNECEDORES'!$A$3:$A$287,'RELAÇÃO DE FORNECEDORES'!$E$3:$E$287)</f>
        <v>GILVAN MARTINS</v>
      </c>
      <c r="T19" s="12">
        <f>_xlfn.XLOOKUP(Q19,'RELAÇÃO DE FORNECEDORES'!$A$3:$A$287,'RELAÇÃO DE FORNECEDORES'!$C$3:$C$287)</f>
        <v>44546</v>
      </c>
    </row>
    <row r="20" spans="1:20" ht="25.5" x14ac:dyDescent="0.25">
      <c r="A20" s="11">
        <v>11</v>
      </c>
      <c r="B20" s="11" t="s">
        <v>394</v>
      </c>
      <c r="C20" s="27" t="s">
        <v>354</v>
      </c>
      <c r="D20" s="11" t="s">
        <v>4</v>
      </c>
      <c r="E20" s="8">
        <v>1</v>
      </c>
      <c r="F20" s="9">
        <v>958.01</v>
      </c>
      <c r="G20" s="6">
        <f t="shared" si="7"/>
        <v>958.01</v>
      </c>
      <c r="H20" s="6">
        <v>1330</v>
      </c>
      <c r="I20" s="6">
        <f t="shared" si="8"/>
        <v>1330</v>
      </c>
      <c r="J20" s="6">
        <v>605.04999999999995</v>
      </c>
      <c r="K20" s="7">
        <f t="shared" si="9"/>
        <v>605.04999999999995</v>
      </c>
      <c r="L20" s="6"/>
      <c r="M20" s="6">
        <f t="shared" ref="M20:M22" si="14">L20*$E23</f>
        <v>0</v>
      </c>
      <c r="N20" s="6"/>
      <c r="O20" s="7">
        <f t="shared" ref="O20:O22" si="15">N20*$E23</f>
        <v>0</v>
      </c>
      <c r="P20" s="13">
        <f t="shared" ref="P20:P22" si="16">MEDIAN(J20,H20,F20,L20,N20)</f>
        <v>958.01</v>
      </c>
      <c r="Q20" s="5" t="str">
        <f t="shared" ref="Q20:Q22" si="17">_xlfn.XLOOKUP(P20,F20:O20,$F$7:$O$7)</f>
        <v>ANGOLINI &amp; ANGOLINI LTDA</v>
      </c>
      <c r="R20" s="1" t="str">
        <f>_xlfn.XLOOKUP(Q20,'RELAÇÃO DE FORNECEDORES'!$A$3:$A$287,'RELAÇÃO DE FORNECEDORES'!$B$3:$B$287)</f>
        <v>44.829.653/0001-53</v>
      </c>
      <c r="S20" s="1" t="str">
        <f>_xlfn.XLOOKUP(Q20,'RELAÇÃO DE FORNECEDORES'!$A$3:$A$287,'RELAÇÃO DE FORNECEDORES'!$E$3:$E$287)</f>
        <v>ANTÔNIO CANDIDO</v>
      </c>
      <c r="T20" s="12">
        <f>_xlfn.XLOOKUP(Q20,'RELAÇÃO DE FORNECEDORES'!$A$3:$A$287,'RELAÇÃO DE FORNECEDORES'!$C$3:$C$287)</f>
        <v>44547</v>
      </c>
    </row>
    <row r="21" spans="1:20" ht="25.5" x14ac:dyDescent="0.25">
      <c r="A21" s="11">
        <v>12</v>
      </c>
      <c r="B21" s="11" t="s">
        <v>395</v>
      </c>
      <c r="C21" s="27" t="s">
        <v>293</v>
      </c>
      <c r="D21" s="11" t="s">
        <v>4</v>
      </c>
      <c r="E21" s="8">
        <v>1</v>
      </c>
      <c r="F21" s="9">
        <v>4755.8999999999996</v>
      </c>
      <c r="G21" s="6">
        <f t="shared" si="7"/>
        <v>4755.8999999999996</v>
      </c>
      <c r="H21" s="6">
        <v>7340</v>
      </c>
      <c r="I21" s="6">
        <f t="shared" si="8"/>
        <v>7340</v>
      </c>
      <c r="J21" s="6">
        <v>4574.2</v>
      </c>
      <c r="K21" s="7">
        <f t="shared" si="9"/>
        <v>4574.2</v>
      </c>
      <c r="L21" s="6"/>
      <c r="M21" s="6">
        <f t="shared" si="14"/>
        <v>0</v>
      </c>
      <c r="N21" s="6"/>
      <c r="O21" s="7">
        <f t="shared" si="15"/>
        <v>0</v>
      </c>
      <c r="P21" s="13">
        <f t="shared" si="16"/>
        <v>4755.8999999999996</v>
      </c>
      <c r="Q21" s="5" t="str">
        <f t="shared" si="17"/>
        <v>ANGOLINI &amp; ANGOLINI LTDA</v>
      </c>
      <c r="R21" s="1" t="str">
        <f>_xlfn.XLOOKUP(Q21,'RELAÇÃO DE FORNECEDORES'!$A$3:$A$287,'RELAÇÃO DE FORNECEDORES'!$B$3:$B$287)</f>
        <v>44.829.653/0001-53</v>
      </c>
      <c r="S21" s="1" t="str">
        <f>_xlfn.XLOOKUP(Q21,'RELAÇÃO DE FORNECEDORES'!$A$3:$A$287,'RELAÇÃO DE FORNECEDORES'!$E$3:$E$287)</f>
        <v>ANTÔNIO CANDIDO</v>
      </c>
      <c r="T21" s="12">
        <f>_xlfn.XLOOKUP(Q21,'RELAÇÃO DE FORNECEDORES'!$A$3:$A$287,'RELAÇÃO DE FORNECEDORES'!$C$3:$C$287)</f>
        <v>44547</v>
      </c>
    </row>
    <row r="22" spans="1:20" x14ac:dyDescent="0.25">
      <c r="A22" s="11">
        <v>13</v>
      </c>
      <c r="B22" s="11" t="s">
        <v>396</v>
      </c>
      <c r="C22" s="27" t="s">
        <v>294</v>
      </c>
      <c r="D22" s="11" t="s">
        <v>4</v>
      </c>
      <c r="E22" s="8">
        <v>2</v>
      </c>
      <c r="F22" s="9">
        <v>16376.55</v>
      </c>
      <c r="G22" s="6">
        <f t="shared" si="7"/>
        <v>32753.1</v>
      </c>
      <c r="H22" s="6">
        <v>21000</v>
      </c>
      <c r="I22" s="6">
        <f t="shared" si="8"/>
        <v>42000</v>
      </c>
      <c r="J22" s="6">
        <v>15765</v>
      </c>
      <c r="K22" s="7">
        <f t="shared" si="9"/>
        <v>31530</v>
      </c>
      <c r="L22" s="6"/>
      <c r="M22" s="6">
        <f t="shared" si="14"/>
        <v>0</v>
      </c>
      <c r="N22" s="6"/>
      <c r="O22" s="7">
        <f t="shared" si="15"/>
        <v>0</v>
      </c>
      <c r="P22" s="13">
        <f t="shared" si="16"/>
        <v>16376.55</v>
      </c>
      <c r="Q22" s="5" t="str">
        <f t="shared" si="17"/>
        <v>ANGOLINI &amp; ANGOLINI LTDA</v>
      </c>
      <c r="R22" s="1" t="str">
        <f>_xlfn.XLOOKUP(Q22,'RELAÇÃO DE FORNECEDORES'!$A$3:$A$287,'RELAÇÃO DE FORNECEDORES'!$B$3:$B$287)</f>
        <v>44.829.653/0001-53</v>
      </c>
      <c r="S22" s="1" t="str">
        <f>_xlfn.XLOOKUP(Q22,'RELAÇÃO DE FORNECEDORES'!$A$3:$A$287,'RELAÇÃO DE FORNECEDORES'!$E$3:$E$287)</f>
        <v>ANTÔNIO CANDIDO</v>
      </c>
      <c r="T22" s="12">
        <f>_xlfn.XLOOKUP(Q22,'RELAÇÃO DE FORNECEDORES'!$A$3:$A$287,'RELAÇÃO DE FORNECEDORES'!$C$3:$C$287)</f>
        <v>44547</v>
      </c>
    </row>
    <row r="23" spans="1:20" ht="25.5" x14ac:dyDescent="0.25">
      <c r="A23" s="11">
        <v>14</v>
      </c>
      <c r="B23" s="11" t="s">
        <v>397</v>
      </c>
      <c r="C23" s="14" t="s">
        <v>295</v>
      </c>
      <c r="D23" s="11" t="s">
        <v>4</v>
      </c>
      <c r="E23" s="8">
        <v>1</v>
      </c>
      <c r="F23" s="9">
        <v>3618.49</v>
      </c>
      <c r="G23" s="6">
        <f t="shared" si="7"/>
        <v>3618.49</v>
      </c>
      <c r="H23" s="6">
        <v>4332</v>
      </c>
      <c r="I23" s="6">
        <f t="shared" si="8"/>
        <v>4332</v>
      </c>
      <c r="J23" s="6">
        <v>3879.08</v>
      </c>
      <c r="K23" s="7">
        <f t="shared" si="9"/>
        <v>3879.08</v>
      </c>
      <c r="L23" s="6"/>
      <c r="M23" s="6">
        <f t="shared" ref="M23:M25" si="18">L23*$E26</f>
        <v>0</v>
      </c>
      <c r="N23" s="6"/>
      <c r="O23" s="7">
        <f t="shared" ref="O23:O25" si="19">N23*$E26</f>
        <v>0</v>
      </c>
      <c r="P23" s="13">
        <f t="shared" ref="P23:P25" si="20">MEDIAN(J23,H23,F23,L23,N23)</f>
        <v>3879.08</v>
      </c>
      <c r="Q23" s="5" t="str">
        <f t="shared" ref="Q23:Q25" si="21">_xlfn.XLOOKUP(P23,F23:O23,$F$7:$O$7)</f>
        <v>DTS SANEAMENTO VÁLVULAS E CONEXÕES LTDA</v>
      </c>
      <c r="R23" s="1" t="str">
        <f>_xlfn.XLOOKUP(Q23,'RELAÇÃO DE FORNECEDORES'!$A$3:$A$287,'RELAÇÃO DE FORNECEDORES'!$B$3:$B$287)</f>
        <v>30.194.330/0001-26</v>
      </c>
      <c r="S23" s="1" t="str">
        <f>_xlfn.XLOOKUP(Q23,'RELAÇÃO DE FORNECEDORES'!$A$3:$A$287,'RELAÇÃO DE FORNECEDORES'!$E$3:$E$287)</f>
        <v>GILVAN MARTINS</v>
      </c>
      <c r="T23" s="12">
        <f>_xlfn.XLOOKUP(Q23,'RELAÇÃO DE FORNECEDORES'!$A$3:$A$287,'RELAÇÃO DE FORNECEDORES'!$C$3:$C$287)</f>
        <v>44546</v>
      </c>
    </row>
    <row r="24" spans="1:20" ht="25.5" x14ac:dyDescent="0.25">
      <c r="A24" s="11">
        <v>15</v>
      </c>
      <c r="B24" s="11" t="s">
        <v>398</v>
      </c>
      <c r="C24" s="14" t="s">
        <v>355</v>
      </c>
      <c r="D24" s="11" t="s">
        <v>4</v>
      </c>
      <c r="E24" s="8">
        <v>2</v>
      </c>
      <c r="F24" s="9">
        <v>5552.82</v>
      </c>
      <c r="G24" s="6">
        <f t="shared" si="7"/>
        <v>11105.64</v>
      </c>
      <c r="H24" s="6">
        <v>7720</v>
      </c>
      <c r="I24" s="6">
        <f t="shared" si="8"/>
        <v>15440</v>
      </c>
      <c r="J24" s="6">
        <v>5606</v>
      </c>
      <c r="K24" s="7">
        <f t="shared" si="9"/>
        <v>11212</v>
      </c>
      <c r="L24" s="6"/>
      <c r="M24" s="6">
        <f t="shared" si="18"/>
        <v>0</v>
      </c>
      <c r="N24" s="6"/>
      <c r="O24" s="7">
        <f t="shared" si="19"/>
        <v>0</v>
      </c>
      <c r="P24" s="13">
        <f t="shared" si="20"/>
        <v>5606</v>
      </c>
      <c r="Q24" s="5" t="str">
        <f t="shared" si="21"/>
        <v>DTS SANEAMENTO VÁLVULAS E CONEXÕES LTDA</v>
      </c>
      <c r="R24" s="1" t="str">
        <f>_xlfn.XLOOKUP(Q24,'RELAÇÃO DE FORNECEDORES'!$A$3:$A$287,'RELAÇÃO DE FORNECEDORES'!$B$3:$B$287)</f>
        <v>30.194.330/0001-26</v>
      </c>
      <c r="S24" s="1" t="str">
        <f>_xlfn.XLOOKUP(Q24,'RELAÇÃO DE FORNECEDORES'!$A$3:$A$287,'RELAÇÃO DE FORNECEDORES'!$E$3:$E$287)</f>
        <v>GILVAN MARTINS</v>
      </c>
      <c r="T24" s="12">
        <f>_xlfn.XLOOKUP(Q24,'RELAÇÃO DE FORNECEDORES'!$A$3:$A$287,'RELAÇÃO DE FORNECEDORES'!$C$3:$C$287)</f>
        <v>44546</v>
      </c>
    </row>
    <row r="25" spans="1:20" ht="38.25" x14ac:dyDescent="0.25">
      <c r="A25" s="11">
        <v>16</v>
      </c>
      <c r="B25" s="11" t="s">
        <v>399</v>
      </c>
      <c r="C25" s="14" t="s">
        <v>356</v>
      </c>
      <c r="D25" s="11" t="s">
        <v>4</v>
      </c>
      <c r="E25" s="8">
        <v>1</v>
      </c>
      <c r="F25" s="9">
        <v>45765</v>
      </c>
      <c r="G25" s="6">
        <f t="shared" si="7"/>
        <v>45765</v>
      </c>
      <c r="H25" s="6">
        <v>50000</v>
      </c>
      <c r="I25" s="6">
        <f t="shared" si="8"/>
        <v>50000</v>
      </c>
      <c r="J25" s="6">
        <v>40120</v>
      </c>
      <c r="K25" s="7">
        <f t="shared" si="9"/>
        <v>40120</v>
      </c>
      <c r="L25" s="6"/>
      <c r="M25" s="6">
        <f t="shared" si="18"/>
        <v>0</v>
      </c>
      <c r="N25" s="6"/>
      <c r="O25" s="7">
        <f t="shared" si="19"/>
        <v>0</v>
      </c>
      <c r="P25" s="13">
        <f t="shared" si="20"/>
        <v>45765</v>
      </c>
      <c r="Q25" s="5" t="str">
        <f t="shared" si="21"/>
        <v>ANGOLINI &amp; ANGOLINI LTDA</v>
      </c>
      <c r="R25" s="1" t="str">
        <f>_xlfn.XLOOKUP(Q25,'RELAÇÃO DE FORNECEDORES'!$A$3:$A$287,'RELAÇÃO DE FORNECEDORES'!$B$3:$B$287)</f>
        <v>44.829.653/0001-53</v>
      </c>
      <c r="S25" s="1" t="str">
        <f>_xlfn.XLOOKUP(Q25,'RELAÇÃO DE FORNECEDORES'!$A$3:$A$287,'RELAÇÃO DE FORNECEDORES'!$E$3:$E$287)</f>
        <v>ANTÔNIO CANDIDO</v>
      </c>
      <c r="T25" s="12">
        <f>_xlfn.XLOOKUP(Q25,'RELAÇÃO DE FORNECEDORES'!$A$3:$A$287,'RELAÇÃO DE FORNECEDORES'!$C$3:$C$287)</f>
        <v>44547</v>
      </c>
    </row>
    <row r="26" spans="1:20" ht="25.5" x14ac:dyDescent="0.25">
      <c r="A26" s="11">
        <v>17</v>
      </c>
      <c r="B26" s="11" t="s">
        <v>400</v>
      </c>
      <c r="C26" s="14" t="s">
        <v>357</v>
      </c>
      <c r="D26" s="11" t="s">
        <v>4</v>
      </c>
      <c r="E26" s="8">
        <v>1</v>
      </c>
      <c r="F26" s="9">
        <v>12166.17</v>
      </c>
      <c r="G26" s="6">
        <f t="shared" si="7"/>
        <v>12166.17</v>
      </c>
      <c r="H26" s="6">
        <v>17400</v>
      </c>
      <c r="I26" s="6">
        <f t="shared" si="8"/>
        <v>17400</v>
      </c>
      <c r="J26" s="6">
        <v>16035</v>
      </c>
      <c r="K26" s="7">
        <f t="shared" si="9"/>
        <v>16035</v>
      </c>
      <c r="L26" s="6"/>
      <c r="M26" s="6">
        <f t="shared" ref="M26:M28" si="22">L26*$E29</f>
        <v>0</v>
      </c>
      <c r="N26" s="6"/>
      <c r="O26" s="7">
        <f t="shared" ref="O26:O28" si="23">N26*$E29</f>
        <v>0</v>
      </c>
      <c r="P26" s="13">
        <f t="shared" ref="P26:P28" si="24">MEDIAN(J26,H26,F26,L26,N26)</f>
        <v>16035</v>
      </c>
      <c r="Q26" s="5" t="str">
        <f t="shared" ref="Q26:Q28" si="25">_xlfn.XLOOKUP(P26,F26:O26,$F$7:$O$7)</f>
        <v>DTS SANEAMENTO VÁLVULAS E CONEXÕES LTDA</v>
      </c>
      <c r="R26" s="1" t="str">
        <f>_xlfn.XLOOKUP(Q26,'RELAÇÃO DE FORNECEDORES'!$A$3:$A$287,'RELAÇÃO DE FORNECEDORES'!$B$3:$B$287)</f>
        <v>30.194.330/0001-26</v>
      </c>
      <c r="S26" s="1" t="str">
        <f>_xlfn.XLOOKUP(Q26,'RELAÇÃO DE FORNECEDORES'!$A$3:$A$287,'RELAÇÃO DE FORNECEDORES'!$E$3:$E$287)</f>
        <v>GILVAN MARTINS</v>
      </c>
      <c r="T26" s="12">
        <f>_xlfn.XLOOKUP(Q26,'RELAÇÃO DE FORNECEDORES'!$A$3:$A$287,'RELAÇÃO DE FORNECEDORES'!$C$3:$C$287)</f>
        <v>44546</v>
      </c>
    </row>
    <row r="27" spans="1:20" ht="25.5" x14ac:dyDescent="0.25">
      <c r="A27" s="11">
        <v>18</v>
      </c>
      <c r="B27" s="11" t="s">
        <v>401</v>
      </c>
      <c r="C27" s="14" t="s">
        <v>358</v>
      </c>
      <c r="D27" s="11" t="s">
        <v>4</v>
      </c>
      <c r="E27" s="8">
        <v>1</v>
      </c>
      <c r="F27" s="9">
        <v>8921.1200000000008</v>
      </c>
      <c r="G27" s="6">
        <f t="shared" si="7"/>
        <v>8921.1200000000008</v>
      </c>
      <c r="H27" s="6">
        <v>13630</v>
      </c>
      <c r="I27" s="6">
        <f t="shared" si="8"/>
        <v>13630</v>
      </c>
      <c r="J27" s="6">
        <v>8617.0400000000009</v>
      </c>
      <c r="K27" s="7">
        <f t="shared" si="9"/>
        <v>8617.0400000000009</v>
      </c>
      <c r="L27" s="6"/>
      <c r="M27" s="6">
        <f t="shared" si="22"/>
        <v>0</v>
      </c>
      <c r="N27" s="6"/>
      <c r="O27" s="7">
        <f t="shared" si="23"/>
        <v>0</v>
      </c>
      <c r="P27" s="13">
        <f t="shared" si="24"/>
        <v>8921.1200000000008</v>
      </c>
      <c r="Q27" s="5" t="str">
        <f t="shared" si="25"/>
        <v>ANGOLINI &amp; ANGOLINI LTDA</v>
      </c>
      <c r="R27" s="1" t="str">
        <f>_xlfn.XLOOKUP(Q27,'RELAÇÃO DE FORNECEDORES'!$A$3:$A$287,'RELAÇÃO DE FORNECEDORES'!$B$3:$B$287)</f>
        <v>44.829.653/0001-53</v>
      </c>
      <c r="S27" s="1" t="str">
        <f>_xlfn.XLOOKUP(Q27,'RELAÇÃO DE FORNECEDORES'!$A$3:$A$287,'RELAÇÃO DE FORNECEDORES'!$E$3:$E$287)</f>
        <v>ANTÔNIO CANDIDO</v>
      </c>
      <c r="T27" s="12">
        <f>_xlfn.XLOOKUP(Q27,'RELAÇÃO DE FORNECEDORES'!$A$3:$A$287,'RELAÇÃO DE FORNECEDORES'!$C$3:$C$287)</f>
        <v>44547</v>
      </c>
    </row>
    <row r="28" spans="1:20" ht="25.5" x14ac:dyDescent="0.25">
      <c r="A28" s="11">
        <v>19</v>
      </c>
      <c r="B28" s="11" t="s">
        <v>402</v>
      </c>
      <c r="C28" s="14" t="s">
        <v>359</v>
      </c>
      <c r="D28" s="11" t="s">
        <v>4</v>
      </c>
      <c r="E28" s="8">
        <v>2</v>
      </c>
      <c r="F28" s="9">
        <v>20344.07</v>
      </c>
      <c r="G28" s="6">
        <f t="shared" si="7"/>
        <v>40688.14</v>
      </c>
      <c r="H28" s="6">
        <v>23400</v>
      </c>
      <c r="I28" s="6">
        <f t="shared" si="8"/>
        <v>46800</v>
      </c>
      <c r="J28" s="6">
        <v>20655</v>
      </c>
      <c r="K28" s="7">
        <f t="shared" si="9"/>
        <v>41310</v>
      </c>
      <c r="L28" s="6"/>
      <c r="M28" s="6">
        <f t="shared" si="22"/>
        <v>0</v>
      </c>
      <c r="N28" s="6"/>
      <c r="O28" s="7">
        <f t="shared" si="23"/>
        <v>0</v>
      </c>
      <c r="P28" s="13">
        <f t="shared" si="24"/>
        <v>20655</v>
      </c>
      <c r="Q28" s="5" t="str">
        <f t="shared" si="25"/>
        <v>DTS SANEAMENTO VÁLVULAS E CONEXÕES LTDA</v>
      </c>
      <c r="R28" s="1" t="str">
        <f>_xlfn.XLOOKUP(Q28,'RELAÇÃO DE FORNECEDORES'!$A$3:$A$287,'RELAÇÃO DE FORNECEDORES'!$B$3:$B$287)</f>
        <v>30.194.330/0001-26</v>
      </c>
      <c r="S28" s="1" t="str">
        <f>_xlfn.XLOOKUP(Q28,'RELAÇÃO DE FORNECEDORES'!$A$3:$A$287,'RELAÇÃO DE FORNECEDORES'!$E$3:$E$287)</f>
        <v>GILVAN MARTINS</v>
      </c>
      <c r="T28" s="12">
        <f>_xlfn.XLOOKUP(Q28,'RELAÇÃO DE FORNECEDORES'!$A$3:$A$287,'RELAÇÃO DE FORNECEDORES'!$C$3:$C$287)</f>
        <v>44546</v>
      </c>
    </row>
    <row r="29" spans="1:20" x14ac:dyDescent="0.25">
      <c r="A29" s="11">
        <v>20</v>
      </c>
      <c r="B29" s="11" t="s">
        <v>403</v>
      </c>
      <c r="C29" s="14" t="s">
        <v>360</v>
      </c>
      <c r="D29" s="11" t="s">
        <v>4</v>
      </c>
      <c r="E29" s="8">
        <v>3</v>
      </c>
      <c r="F29" s="9">
        <v>2411.5100000000002</v>
      </c>
      <c r="G29" s="6">
        <f t="shared" si="7"/>
        <v>7234.5300000000007</v>
      </c>
      <c r="H29" s="6">
        <v>2830</v>
      </c>
      <c r="I29" s="6">
        <f t="shared" si="8"/>
        <v>8490</v>
      </c>
      <c r="J29" s="6">
        <v>2176</v>
      </c>
      <c r="K29" s="7">
        <f t="shared" si="9"/>
        <v>6528</v>
      </c>
      <c r="L29" s="6"/>
      <c r="M29" s="6">
        <f t="shared" ref="M29" si="26">L29*$E32</f>
        <v>0</v>
      </c>
      <c r="N29" s="6"/>
      <c r="O29" s="7">
        <f t="shared" ref="O29" si="27">N29*$E32</f>
        <v>0</v>
      </c>
      <c r="P29" s="13">
        <f t="shared" ref="P29:P31" si="28">MEDIAN(J29,H29,F29,L29,N29)</f>
        <v>2411.5100000000002</v>
      </c>
      <c r="Q29" s="5" t="str">
        <f t="shared" ref="Q29:Q31" si="29">_xlfn.XLOOKUP(P29,F29:O29,$F$7:$O$7)</f>
        <v>ANGOLINI &amp; ANGOLINI LTDA</v>
      </c>
      <c r="R29" s="1" t="str">
        <f>_xlfn.XLOOKUP(Q29,'RELAÇÃO DE FORNECEDORES'!$A$3:$A$287,'RELAÇÃO DE FORNECEDORES'!$B$3:$B$287)</f>
        <v>44.829.653/0001-53</v>
      </c>
      <c r="S29" s="1" t="str">
        <f>_xlfn.XLOOKUP(Q29,'RELAÇÃO DE FORNECEDORES'!$A$3:$A$287,'RELAÇÃO DE FORNECEDORES'!$E$3:$E$287)</f>
        <v>ANTÔNIO CANDIDO</v>
      </c>
      <c r="T29" s="12">
        <f>_xlfn.XLOOKUP(Q29,'RELAÇÃO DE FORNECEDORES'!$A$3:$A$287,'RELAÇÃO DE FORNECEDORES'!$C$3:$C$287)</f>
        <v>44547</v>
      </c>
    </row>
    <row r="30" spans="1:20" ht="25.5" x14ac:dyDescent="0.25">
      <c r="A30" s="11">
        <v>21</v>
      </c>
      <c r="B30" s="11" t="s">
        <v>404</v>
      </c>
      <c r="C30" s="14" t="s">
        <v>361</v>
      </c>
      <c r="D30" s="11" t="s">
        <v>4</v>
      </c>
      <c r="E30" s="8">
        <v>2</v>
      </c>
      <c r="F30" s="9">
        <v>6665.82</v>
      </c>
      <c r="G30" s="6">
        <f t="shared" si="7"/>
        <v>13331.64</v>
      </c>
      <c r="H30" s="6">
        <v>9680</v>
      </c>
      <c r="I30" s="6">
        <f t="shared" si="8"/>
        <v>19360</v>
      </c>
      <c r="J30" s="6">
        <v>6602.3</v>
      </c>
      <c r="K30" s="7">
        <f t="shared" si="9"/>
        <v>13204.6</v>
      </c>
      <c r="L30" s="6"/>
      <c r="M30" s="6" t="e">
        <f>L30*#REF!</f>
        <v>#REF!</v>
      </c>
      <c r="N30" s="6"/>
      <c r="O30" s="7" t="e">
        <f>N30*#REF!</f>
        <v>#REF!</v>
      </c>
      <c r="P30" s="13">
        <f t="shared" si="28"/>
        <v>6665.82</v>
      </c>
      <c r="Q30" s="5" t="str">
        <f t="shared" si="29"/>
        <v>ANGOLINI &amp; ANGOLINI LTDA</v>
      </c>
      <c r="R30" s="1" t="str">
        <f>_xlfn.XLOOKUP(Q30,'RELAÇÃO DE FORNECEDORES'!$A$3:$A$287,'RELAÇÃO DE FORNECEDORES'!$B$3:$B$287)</f>
        <v>44.829.653/0001-53</v>
      </c>
      <c r="S30" s="1" t="str">
        <f>_xlfn.XLOOKUP(Q30,'RELAÇÃO DE FORNECEDORES'!$A$3:$A$287,'RELAÇÃO DE FORNECEDORES'!$E$3:$E$287)</f>
        <v>ANTÔNIO CANDIDO</v>
      </c>
      <c r="T30" s="12">
        <f>_xlfn.XLOOKUP(Q30,'RELAÇÃO DE FORNECEDORES'!$A$3:$A$287,'RELAÇÃO DE FORNECEDORES'!$C$3:$C$287)</f>
        <v>44547</v>
      </c>
    </row>
    <row r="31" spans="1:20" ht="25.5" x14ac:dyDescent="0.25">
      <c r="A31" s="11">
        <v>22</v>
      </c>
      <c r="B31" s="11" t="s">
        <v>405</v>
      </c>
      <c r="C31" s="14" t="s">
        <v>362</v>
      </c>
      <c r="D31" s="11" t="s">
        <v>4</v>
      </c>
      <c r="E31" s="8">
        <v>2</v>
      </c>
      <c r="F31" s="9">
        <v>19360.43</v>
      </c>
      <c r="G31" s="6">
        <f t="shared" si="7"/>
        <v>38720.86</v>
      </c>
      <c r="H31" s="6">
        <v>25000</v>
      </c>
      <c r="I31" s="6">
        <f t="shared" si="8"/>
        <v>50000</v>
      </c>
      <c r="J31" s="6">
        <v>18209</v>
      </c>
      <c r="K31" s="7">
        <f t="shared" si="9"/>
        <v>36418</v>
      </c>
      <c r="L31" s="6"/>
      <c r="M31" s="6" t="e">
        <f>L31*#REF!</f>
        <v>#REF!</v>
      </c>
      <c r="N31" s="6"/>
      <c r="O31" s="7" t="e">
        <f>N31*#REF!</f>
        <v>#REF!</v>
      </c>
      <c r="P31" s="13">
        <f t="shared" si="28"/>
        <v>19360.43</v>
      </c>
      <c r="Q31" s="5" t="str">
        <f t="shared" si="29"/>
        <v>ANGOLINI &amp; ANGOLINI LTDA</v>
      </c>
      <c r="R31" s="1" t="str">
        <f>_xlfn.XLOOKUP(Q31,'RELAÇÃO DE FORNECEDORES'!$A$3:$A$287,'RELAÇÃO DE FORNECEDORES'!$B$3:$B$287)</f>
        <v>44.829.653/0001-53</v>
      </c>
      <c r="S31" s="1" t="str">
        <f>_xlfn.XLOOKUP(Q31,'RELAÇÃO DE FORNECEDORES'!$A$3:$A$287,'RELAÇÃO DE FORNECEDORES'!$E$3:$E$287)</f>
        <v>ANTÔNIO CANDIDO</v>
      </c>
      <c r="T31" s="12">
        <f>_xlfn.XLOOKUP(Q31,'RELAÇÃO DE FORNECEDORES'!$A$3:$A$287,'RELAÇÃO DE FORNECEDORES'!$C$3:$C$287)</f>
        <v>44547</v>
      </c>
    </row>
    <row r="32" spans="1:20" ht="25.5" x14ac:dyDescent="0.25">
      <c r="A32" s="11">
        <v>23</v>
      </c>
      <c r="B32" s="11" t="s">
        <v>406</v>
      </c>
      <c r="C32" s="14" t="s">
        <v>363</v>
      </c>
      <c r="D32" s="11" t="s">
        <v>4</v>
      </c>
      <c r="E32" s="8">
        <v>1</v>
      </c>
      <c r="F32" s="9">
        <v>5061</v>
      </c>
      <c r="G32" s="6">
        <f t="shared" si="7"/>
        <v>5061</v>
      </c>
      <c r="H32" s="6">
        <v>8750</v>
      </c>
      <c r="I32" s="6">
        <f t="shared" si="8"/>
        <v>8750</v>
      </c>
      <c r="J32" s="6">
        <v>4835</v>
      </c>
      <c r="K32" s="7">
        <f t="shared" si="9"/>
        <v>4835</v>
      </c>
      <c r="L32" s="6"/>
      <c r="M32" s="6" t="e">
        <f>L32*#REF!</f>
        <v>#REF!</v>
      </c>
      <c r="N32" s="6"/>
      <c r="O32" s="7" t="e">
        <f>N32*#REF!</f>
        <v>#REF!</v>
      </c>
      <c r="P32" s="13">
        <f t="shared" ref="P32" si="30">MEDIAN(J32,H32,F32,L32,N32)</f>
        <v>5061</v>
      </c>
      <c r="Q32" s="5" t="str">
        <f t="shared" ref="Q32" si="31">_xlfn.XLOOKUP(P32,F32:O32,$F$7:$O$7)</f>
        <v>ANGOLINI &amp; ANGOLINI LTDA</v>
      </c>
      <c r="R32" s="1" t="str">
        <f>_xlfn.XLOOKUP(Q32,'RELAÇÃO DE FORNECEDORES'!$A$3:$A$287,'RELAÇÃO DE FORNECEDORES'!$B$3:$B$287)</f>
        <v>44.829.653/0001-53</v>
      </c>
      <c r="S32" s="1" t="str">
        <f>_xlfn.XLOOKUP(Q32,'RELAÇÃO DE FORNECEDORES'!$A$3:$A$287,'RELAÇÃO DE FORNECEDORES'!$E$3:$E$287)</f>
        <v>ANTÔNIO CANDIDO</v>
      </c>
      <c r="T32" s="12">
        <f>_xlfn.XLOOKUP(Q32,'RELAÇÃO DE FORNECEDORES'!$A$3:$A$287,'RELAÇÃO DE FORNECEDORES'!$C$3:$C$287)</f>
        <v>44547</v>
      </c>
    </row>
    <row r="33" spans="1:20" x14ac:dyDescent="0.25">
      <c r="A33" s="11">
        <v>24</v>
      </c>
      <c r="B33" s="11" t="s">
        <v>407</v>
      </c>
      <c r="C33" s="14" t="s">
        <v>364</v>
      </c>
      <c r="D33" s="11" t="s">
        <v>4</v>
      </c>
      <c r="E33" s="8">
        <v>1</v>
      </c>
      <c r="F33" s="9">
        <v>16349.7</v>
      </c>
      <c r="G33" s="6">
        <f t="shared" si="7"/>
        <v>16349.7</v>
      </c>
      <c r="H33" s="6">
        <v>17000</v>
      </c>
      <c r="I33" s="6">
        <f t="shared" si="8"/>
        <v>17000</v>
      </c>
      <c r="J33" s="6">
        <v>15329</v>
      </c>
      <c r="K33" s="7">
        <f t="shared" si="9"/>
        <v>15329</v>
      </c>
      <c r="L33" s="6"/>
      <c r="M33" s="6">
        <f t="shared" ref="M33:M38" si="32">L33*$E36</f>
        <v>0</v>
      </c>
      <c r="N33" s="6"/>
      <c r="O33" s="7">
        <f t="shared" ref="O33:O38" si="33">N33*$E36</f>
        <v>0</v>
      </c>
      <c r="P33" s="13">
        <f t="shared" ref="P33:P39" si="34">MEDIAN(J33,H33,F33,L33,N33)</f>
        <v>16349.7</v>
      </c>
      <c r="Q33" s="5" t="str">
        <f t="shared" ref="Q33:Q39" si="35">_xlfn.XLOOKUP(P33,F33:O33,$F$7:$O$7)</f>
        <v>ANGOLINI &amp; ANGOLINI LTDA</v>
      </c>
      <c r="R33" s="1" t="str">
        <f>_xlfn.XLOOKUP(Q33,'RELAÇÃO DE FORNECEDORES'!$A$3:$A$287,'RELAÇÃO DE FORNECEDORES'!$B$3:$B$287)</f>
        <v>44.829.653/0001-53</v>
      </c>
      <c r="S33" s="1" t="str">
        <f>_xlfn.XLOOKUP(Q33,'RELAÇÃO DE FORNECEDORES'!$A$3:$A$287,'RELAÇÃO DE FORNECEDORES'!$E$3:$E$287)</f>
        <v>ANTÔNIO CANDIDO</v>
      </c>
      <c r="T33" s="12">
        <f>_xlfn.XLOOKUP(Q33,'RELAÇÃO DE FORNECEDORES'!$A$3:$A$287,'RELAÇÃO DE FORNECEDORES'!$C$3:$C$287)</f>
        <v>44547</v>
      </c>
    </row>
    <row r="34" spans="1:20" ht="25.5" x14ac:dyDescent="0.25">
      <c r="A34" s="11">
        <v>25</v>
      </c>
      <c r="B34" s="11" t="s">
        <v>408</v>
      </c>
      <c r="C34" s="14" t="s">
        <v>365</v>
      </c>
      <c r="D34" s="11" t="s">
        <v>4</v>
      </c>
      <c r="E34" s="8">
        <v>2</v>
      </c>
      <c r="F34" s="9">
        <v>3114.46</v>
      </c>
      <c r="G34" s="6">
        <f t="shared" si="7"/>
        <v>6228.92</v>
      </c>
      <c r="H34" s="6">
        <v>7824</v>
      </c>
      <c r="I34" s="6">
        <f t="shared" si="8"/>
        <v>15648</v>
      </c>
      <c r="J34" s="6">
        <v>3145</v>
      </c>
      <c r="K34" s="7">
        <f t="shared" si="9"/>
        <v>6290</v>
      </c>
      <c r="L34" s="6"/>
      <c r="M34" s="6">
        <f t="shared" si="32"/>
        <v>0</v>
      </c>
      <c r="N34" s="6"/>
      <c r="O34" s="7">
        <f t="shared" si="33"/>
        <v>0</v>
      </c>
      <c r="P34" s="13">
        <f t="shared" si="34"/>
        <v>3145</v>
      </c>
      <c r="Q34" s="5" t="str">
        <f t="shared" si="35"/>
        <v>DTS SANEAMENTO VÁLVULAS E CONEXÕES LTDA</v>
      </c>
      <c r="R34" s="1" t="str">
        <f>_xlfn.XLOOKUP(Q34,'RELAÇÃO DE FORNECEDORES'!$A$3:$A$287,'RELAÇÃO DE FORNECEDORES'!$B$3:$B$287)</f>
        <v>30.194.330/0001-26</v>
      </c>
      <c r="S34" s="1" t="str">
        <f>_xlfn.XLOOKUP(Q34,'RELAÇÃO DE FORNECEDORES'!$A$3:$A$287,'RELAÇÃO DE FORNECEDORES'!$E$3:$E$287)</f>
        <v>GILVAN MARTINS</v>
      </c>
      <c r="T34" s="12">
        <f>_xlfn.XLOOKUP(Q34,'RELAÇÃO DE FORNECEDORES'!$A$3:$A$287,'RELAÇÃO DE FORNECEDORES'!$C$3:$C$287)</f>
        <v>44546</v>
      </c>
    </row>
    <row r="35" spans="1:20" x14ac:dyDescent="0.25">
      <c r="A35" s="11">
        <v>26</v>
      </c>
      <c r="B35" s="11" t="s">
        <v>409</v>
      </c>
      <c r="C35" s="14" t="s">
        <v>366</v>
      </c>
      <c r="D35" s="11" t="s">
        <v>4</v>
      </c>
      <c r="E35" s="8">
        <v>3</v>
      </c>
      <c r="F35" s="9">
        <v>10881.09</v>
      </c>
      <c r="G35" s="6">
        <f t="shared" si="7"/>
        <v>32643.27</v>
      </c>
      <c r="H35" s="6">
        <v>12950</v>
      </c>
      <c r="I35" s="6">
        <f t="shared" si="8"/>
        <v>38850</v>
      </c>
      <c r="J35" s="6">
        <v>10107</v>
      </c>
      <c r="K35" s="7">
        <f t="shared" si="9"/>
        <v>30321</v>
      </c>
      <c r="L35" s="6"/>
      <c r="M35" s="6">
        <f t="shared" si="32"/>
        <v>0</v>
      </c>
      <c r="N35" s="6"/>
      <c r="O35" s="7">
        <f t="shared" si="33"/>
        <v>0</v>
      </c>
      <c r="P35" s="13">
        <f t="shared" si="34"/>
        <v>10881.09</v>
      </c>
      <c r="Q35" s="5" t="str">
        <f t="shared" si="35"/>
        <v>ANGOLINI &amp; ANGOLINI LTDA</v>
      </c>
      <c r="R35" s="1" t="str">
        <f>_xlfn.XLOOKUP(Q35,'RELAÇÃO DE FORNECEDORES'!$A$3:$A$287,'RELAÇÃO DE FORNECEDORES'!$B$3:$B$287)</f>
        <v>44.829.653/0001-53</v>
      </c>
      <c r="S35" s="1" t="str">
        <f>_xlfn.XLOOKUP(Q35,'RELAÇÃO DE FORNECEDORES'!$A$3:$A$287,'RELAÇÃO DE FORNECEDORES'!$E$3:$E$287)</f>
        <v>ANTÔNIO CANDIDO</v>
      </c>
      <c r="T35" s="12">
        <f>_xlfn.XLOOKUP(Q35,'RELAÇÃO DE FORNECEDORES'!$A$3:$A$287,'RELAÇÃO DE FORNECEDORES'!$C$3:$C$287)</f>
        <v>44547</v>
      </c>
    </row>
    <row r="36" spans="1:20" ht="25.5" x14ac:dyDescent="0.25">
      <c r="A36" s="11">
        <v>27</v>
      </c>
      <c r="B36" s="11" t="s">
        <v>410</v>
      </c>
      <c r="C36" s="14" t="s">
        <v>367</v>
      </c>
      <c r="D36" s="11" t="s">
        <v>4</v>
      </c>
      <c r="E36" s="8">
        <v>4</v>
      </c>
      <c r="F36" s="9">
        <v>2626.3</v>
      </c>
      <c r="G36" s="6">
        <f t="shared" si="7"/>
        <v>10505.2</v>
      </c>
      <c r="H36" s="6">
        <v>3100</v>
      </c>
      <c r="I36" s="6">
        <f t="shared" si="8"/>
        <v>12400</v>
      </c>
      <c r="J36" s="6">
        <v>2722.5</v>
      </c>
      <c r="K36" s="7">
        <f t="shared" si="9"/>
        <v>10890</v>
      </c>
      <c r="L36" s="6"/>
      <c r="M36" s="6">
        <f t="shared" si="32"/>
        <v>0</v>
      </c>
      <c r="N36" s="6"/>
      <c r="O36" s="7">
        <f t="shared" si="33"/>
        <v>0</v>
      </c>
      <c r="P36" s="13">
        <f t="shared" si="34"/>
        <v>2722.5</v>
      </c>
      <c r="Q36" s="5" t="str">
        <f t="shared" si="35"/>
        <v>DTS SANEAMENTO VÁLVULAS E CONEXÕES LTDA</v>
      </c>
      <c r="R36" s="1" t="str">
        <f>_xlfn.XLOOKUP(Q36,'RELAÇÃO DE FORNECEDORES'!$A$3:$A$287,'RELAÇÃO DE FORNECEDORES'!$B$3:$B$287)</f>
        <v>30.194.330/0001-26</v>
      </c>
      <c r="S36" s="1" t="str">
        <f>_xlfn.XLOOKUP(Q36,'RELAÇÃO DE FORNECEDORES'!$A$3:$A$287,'RELAÇÃO DE FORNECEDORES'!$E$3:$E$287)</f>
        <v>GILVAN MARTINS</v>
      </c>
      <c r="T36" s="12">
        <f>_xlfn.XLOOKUP(Q36,'RELAÇÃO DE FORNECEDORES'!$A$3:$A$287,'RELAÇÃO DE FORNECEDORES'!$C$3:$C$287)</f>
        <v>44546</v>
      </c>
    </row>
    <row r="37" spans="1:20" ht="25.5" x14ac:dyDescent="0.25">
      <c r="A37" s="11">
        <v>28</v>
      </c>
      <c r="B37" s="11" t="s">
        <v>411</v>
      </c>
      <c r="C37" s="14" t="s">
        <v>368</v>
      </c>
      <c r="D37" s="11" t="s">
        <v>4</v>
      </c>
      <c r="E37" s="8">
        <v>3</v>
      </c>
      <c r="F37" s="9">
        <v>32208.799999999999</v>
      </c>
      <c r="G37" s="6">
        <f t="shared" si="7"/>
        <v>96626.4</v>
      </c>
      <c r="H37" s="6">
        <v>31200</v>
      </c>
      <c r="I37" s="6">
        <f t="shared" si="8"/>
        <v>93600</v>
      </c>
      <c r="J37" s="6">
        <v>28267</v>
      </c>
      <c r="K37" s="7">
        <f t="shared" si="9"/>
        <v>84801</v>
      </c>
      <c r="L37" s="6"/>
      <c r="M37" s="6">
        <f t="shared" si="32"/>
        <v>0</v>
      </c>
      <c r="N37" s="6"/>
      <c r="O37" s="7">
        <f t="shared" si="33"/>
        <v>0</v>
      </c>
      <c r="P37" s="13">
        <f t="shared" si="34"/>
        <v>31200</v>
      </c>
      <c r="Q37" s="5" t="str">
        <f t="shared" si="35"/>
        <v>V E GOMES ARAUJO EIRELI (MT SANEAMENTO)</v>
      </c>
      <c r="R37" s="1" t="str">
        <f>_xlfn.XLOOKUP(Q37,'RELAÇÃO DE FORNECEDORES'!$A$3:$A$287,'RELAÇÃO DE FORNECEDORES'!$B$3:$B$287)</f>
        <v>20.775.930/0001-24</v>
      </c>
      <c r="S37" s="1" t="str">
        <f>_xlfn.XLOOKUP(Q37,'RELAÇÃO DE FORNECEDORES'!$A$3:$A$287,'RELAÇÃO DE FORNECEDORES'!$E$3:$E$287)</f>
        <v>VICTOR ARAUJO</v>
      </c>
      <c r="T37" s="12">
        <f>_xlfn.XLOOKUP(Q37,'RELAÇÃO DE FORNECEDORES'!$A$3:$A$287,'RELAÇÃO DE FORNECEDORES'!$C$3:$C$287)</f>
        <v>44547</v>
      </c>
    </row>
    <row r="38" spans="1:20" ht="25.5" x14ac:dyDescent="0.25">
      <c r="A38" s="11">
        <v>29</v>
      </c>
      <c r="B38" s="11" t="s">
        <v>412</v>
      </c>
      <c r="C38" s="14" t="s">
        <v>369</v>
      </c>
      <c r="D38" s="11" t="s">
        <v>4</v>
      </c>
      <c r="E38" s="8">
        <v>1</v>
      </c>
      <c r="F38" s="9">
        <v>11864.73</v>
      </c>
      <c r="G38" s="6">
        <f t="shared" si="7"/>
        <v>11864.73</v>
      </c>
      <c r="H38" s="6">
        <v>8300</v>
      </c>
      <c r="I38" s="6">
        <f t="shared" si="8"/>
        <v>8300</v>
      </c>
      <c r="J38" s="6">
        <v>13913</v>
      </c>
      <c r="K38" s="7">
        <f t="shared" si="9"/>
        <v>13913</v>
      </c>
      <c r="L38" s="6"/>
      <c r="M38" s="6">
        <f t="shared" si="32"/>
        <v>0</v>
      </c>
      <c r="N38" s="6"/>
      <c r="O38" s="7">
        <f t="shared" si="33"/>
        <v>0</v>
      </c>
      <c r="P38" s="13">
        <f t="shared" si="34"/>
        <v>11864.73</v>
      </c>
      <c r="Q38" s="5" t="str">
        <f t="shared" si="35"/>
        <v>ANGOLINI &amp; ANGOLINI LTDA</v>
      </c>
      <c r="R38" s="1" t="str">
        <f>_xlfn.XLOOKUP(Q38,'RELAÇÃO DE FORNECEDORES'!$A$3:$A$287,'RELAÇÃO DE FORNECEDORES'!$B$3:$B$287)</f>
        <v>44.829.653/0001-53</v>
      </c>
      <c r="S38" s="1" t="str">
        <f>_xlfn.XLOOKUP(Q38,'RELAÇÃO DE FORNECEDORES'!$A$3:$A$287,'RELAÇÃO DE FORNECEDORES'!$E$3:$E$287)</f>
        <v>ANTÔNIO CANDIDO</v>
      </c>
      <c r="T38" s="12">
        <f>_xlfn.XLOOKUP(Q38,'RELAÇÃO DE FORNECEDORES'!$A$3:$A$287,'RELAÇÃO DE FORNECEDORES'!$C$3:$C$287)</f>
        <v>44547</v>
      </c>
    </row>
    <row r="39" spans="1:20" ht="25.5" x14ac:dyDescent="0.25">
      <c r="A39" s="11">
        <v>30</v>
      </c>
      <c r="B39" s="11" t="s">
        <v>413</v>
      </c>
      <c r="C39" s="14" t="s">
        <v>370</v>
      </c>
      <c r="D39" s="11" t="s">
        <v>4</v>
      </c>
      <c r="E39" s="8">
        <v>1</v>
      </c>
      <c r="F39" s="9">
        <v>8030.23</v>
      </c>
      <c r="G39" s="6">
        <f t="shared" si="7"/>
        <v>8030.23</v>
      </c>
      <c r="H39" s="6">
        <v>12000</v>
      </c>
      <c r="I39" s="6">
        <f t="shared" si="8"/>
        <v>12000</v>
      </c>
      <c r="J39" s="6">
        <v>7820</v>
      </c>
      <c r="K39" s="7">
        <f t="shared" si="9"/>
        <v>7820</v>
      </c>
      <c r="L39" s="6"/>
      <c r="M39" s="6">
        <f>L39*$E57</f>
        <v>0</v>
      </c>
      <c r="N39" s="6"/>
      <c r="O39" s="7">
        <f>N39*$E57</f>
        <v>0</v>
      </c>
      <c r="P39" s="13">
        <f t="shared" si="34"/>
        <v>8030.23</v>
      </c>
      <c r="Q39" s="5" t="str">
        <f t="shared" si="35"/>
        <v>ANGOLINI &amp; ANGOLINI LTDA</v>
      </c>
      <c r="R39" s="1" t="str">
        <f>_xlfn.XLOOKUP(Q39,'RELAÇÃO DE FORNECEDORES'!$A$3:$A$287,'RELAÇÃO DE FORNECEDORES'!$B$3:$B$287)</f>
        <v>44.829.653/0001-53</v>
      </c>
      <c r="S39" s="1" t="str">
        <f>_xlfn.XLOOKUP(Q39,'RELAÇÃO DE FORNECEDORES'!$A$3:$A$287,'RELAÇÃO DE FORNECEDORES'!$E$3:$E$287)</f>
        <v>ANTÔNIO CANDIDO</v>
      </c>
      <c r="T39" s="12">
        <f>_xlfn.XLOOKUP(Q39,'RELAÇÃO DE FORNECEDORES'!$A$3:$A$287,'RELAÇÃO DE FORNECEDORES'!$C$3:$C$287)</f>
        <v>44547</v>
      </c>
    </row>
    <row r="40" spans="1:20" ht="25.5" x14ac:dyDescent="0.25">
      <c r="A40" s="11">
        <v>31</v>
      </c>
      <c r="B40" s="11" t="s">
        <v>414</v>
      </c>
      <c r="C40" s="14" t="s">
        <v>371</v>
      </c>
      <c r="D40" s="11" t="s">
        <v>4</v>
      </c>
      <c r="E40" s="8">
        <v>1</v>
      </c>
      <c r="F40" s="9">
        <v>16929.39</v>
      </c>
      <c r="G40" s="6">
        <f t="shared" si="7"/>
        <v>16929.39</v>
      </c>
      <c r="H40" s="6">
        <v>22000</v>
      </c>
      <c r="I40" s="6">
        <f t="shared" si="8"/>
        <v>22000</v>
      </c>
      <c r="J40" s="6">
        <v>15221</v>
      </c>
      <c r="K40" s="7">
        <f t="shared" si="9"/>
        <v>15221</v>
      </c>
      <c r="L40" s="6"/>
      <c r="M40" s="6">
        <f>L40*$E58</f>
        <v>0</v>
      </c>
      <c r="N40" s="6"/>
      <c r="O40" s="7">
        <f>N40*$E58</f>
        <v>0</v>
      </c>
      <c r="P40" s="13">
        <f t="shared" ref="P40:P58" si="36">MEDIAN(J40,H40,F40,L40,N40)</f>
        <v>16929.39</v>
      </c>
      <c r="Q40" s="5" t="str">
        <f t="shared" ref="Q40:Q58" si="37">_xlfn.XLOOKUP(P40,F40:O40,$F$7:$O$7)</f>
        <v>ANGOLINI &amp; ANGOLINI LTDA</v>
      </c>
      <c r="R40" s="1" t="str">
        <f>_xlfn.XLOOKUP(Q40,'RELAÇÃO DE FORNECEDORES'!$A$3:$A$287,'RELAÇÃO DE FORNECEDORES'!$B$3:$B$287)</f>
        <v>44.829.653/0001-53</v>
      </c>
      <c r="S40" s="1" t="str">
        <f>_xlfn.XLOOKUP(Q40,'RELAÇÃO DE FORNECEDORES'!$A$3:$A$287,'RELAÇÃO DE FORNECEDORES'!$E$3:$E$287)</f>
        <v>ANTÔNIO CANDIDO</v>
      </c>
      <c r="T40" s="12">
        <f>_xlfn.XLOOKUP(Q40,'RELAÇÃO DE FORNECEDORES'!$A$3:$A$287,'RELAÇÃO DE FORNECEDORES'!$C$3:$C$287)</f>
        <v>44547</v>
      </c>
    </row>
    <row r="41" spans="1:20" ht="25.5" x14ac:dyDescent="0.25">
      <c r="A41" s="11">
        <v>32</v>
      </c>
      <c r="B41" s="11" t="s">
        <v>415</v>
      </c>
      <c r="C41" s="14" t="s">
        <v>372</v>
      </c>
      <c r="D41" s="11" t="s">
        <v>4</v>
      </c>
      <c r="E41" s="8">
        <v>2</v>
      </c>
      <c r="F41" s="9">
        <v>799.36</v>
      </c>
      <c r="G41" s="6">
        <f t="shared" si="7"/>
        <v>1598.72</v>
      </c>
      <c r="H41" s="6">
        <v>875</v>
      </c>
      <c r="I41" s="6">
        <f t="shared" si="8"/>
        <v>1750</v>
      </c>
      <c r="J41" s="6">
        <v>614</v>
      </c>
      <c r="K41" s="7">
        <f t="shared" si="9"/>
        <v>1228</v>
      </c>
      <c r="L41" s="6"/>
      <c r="M41" s="6" t="e">
        <f>L41*#REF!</f>
        <v>#REF!</v>
      </c>
      <c r="N41" s="6"/>
      <c r="O41" s="7" t="e">
        <f>N41*#REF!</f>
        <v>#REF!</v>
      </c>
      <c r="P41" s="13">
        <f t="shared" si="36"/>
        <v>799.36</v>
      </c>
      <c r="Q41" s="5" t="str">
        <f t="shared" si="37"/>
        <v>ANGOLINI &amp; ANGOLINI LTDA</v>
      </c>
      <c r="R41" s="1" t="str">
        <f>_xlfn.XLOOKUP(Q41,'RELAÇÃO DE FORNECEDORES'!$A$3:$A$287,'RELAÇÃO DE FORNECEDORES'!$B$3:$B$287)</f>
        <v>44.829.653/0001-53</v>
      </c>
      <c r="S41" s="1" t="str">
        <f>_xlfn.XLOOKUP(Q41,'RELAÇÃO DE FORNECEDORES'!$A$3:$A$287,'RELAÇÃO DE FORNECEDORES'!$E$3:$E$287)</f>
        <v>ANTÔNIO CANDIDO</v>
      </c>
      <c r="T41" s="12">
        <f>_xlfn.XLOOKUP(Q41,'RELAÇÃO DE FORNECEDORES'!$A$3:$A$287,'RELAÇÃO DE FORNECEDORES'!$C$3:$C$287)</f>
        <v>44547</v>
      </c>
    </row>
    <row r="42" spans="1:20" ht="25.5" x14ac:dyDescent="0.25">
      <c r="A42" s="11">
        <v>33</v>
      </c>
      <c r="B42" s="11" t="s">
        <v>416</v>
      </c>
      <c r="C42" s="14" t="s">
        <v>373</v>
      </c>
      <c r="D42" s="11" t="s">
        <v>4</v>
      </c>
      <c r="E42" s="8">
        <v>1</v>
      </c>
      <c r="F42" s="9">
        <v>7761.74</v>
      </c>
      <c r="G42" s="6">
        <f t="shared" si="7"/>
        <v>7761.74</v>
      </c>
      <c r="H42" s="6">
        <v>7350</v>
      </c>
      <c r="I42" s="6">
        <f t="shared" si="8"/>
        <v>7350</v>
      </c>
      <c r="J42" s="6">
        <v>5264</v>
      </c>
      <c r="K42" s="7">
        <f t="shared" si="9"/>
        <v>5264</v>
      </c>
      <c r="L42" s="6"/>
      <c r="M42" s="6">
        <f t="shared" ref="M42:M55" si="38">L42*$E45</f>
        <v>0</v>
      </c>
      <c r="N42" s="6"/>
      <c r="O42" s="7">
        <f t="shared" ref="O42:O55" si="39">N42*$E45</f>
        <v>0</v>
      </c>
      <c r="P42" s="13">
        <f t="shared" ref="P42:P56" si="40">MEDIAN(J42,H42,F42,L42,N42)</f>
        <v>7350</v>
      </c>
      <c r="Q42" s="5" t="str">
        <f t="shared" ref="Q42:Q56" si="41">_xlfn.XLOOKUP(P42,F42:O42,$F$7:$O$7)</f>
        <v>V E GOMES ARAUJO EIRELI (MT SANEAMENTO)</v>
      </c>
      <c r="R42" s="1" t="str">
        <f>_xlfn.XLOOKUP(Q42,'RELAÇÃO DE FORNECEDORES'!$A$3:$A$287,'RELAÇÃO DE FORNECEDORES'!$B$3:$B$287)</f>
        <v>20.775.930/0001-24</v>
      </c>
      <c r="S42" s="1" t="str">
        <f>_xlfn.XLOOKUP(Q42,'RELAÇÃO DE FORNECEDORES'!$A$3:$A$287,'RELAÇÃO DE FORNECEDORES'!$E$3:$E$287)</f>
        <v>VICTOR ARAUJO</v>
      </c>
      <c r="T42" s="12">
        <f>_xlfn.XLOOKUP(Q42,'RELAÇÃO DE FORNECEDORES'!$A$3:$A$287,'RELAÇÃO DE FORNECEDORES'!$C$3:$C$287)</f>
        <v>44547</v>
      </c>
    </row>
    <row r="43" spans="1:20" ht="25.5" x14ac:dyDescent="0.25">
      <c r="A43" s="11">
        <v>34</v>
      </c>
      <c r="B43" s="11" t="s">
        <v>417</v>
      </c>
      <c r="C43" s="14" t="s">
        <v>374</v>
      </c>
      <c r="D43" s="11" t="s">
        <v>4</v>
      </c>
      <c r="E43" s="8">
        <v>1</v>
      </c>
      <c r="F43" s="9">
        <v>2223.5700000000002</v>
      </c>
      <c r="G43" s="6">
        <f t="shared" si="7"/>
        <v>2223.5700000000002</v>
      </c>
      <c r="H43" s="6">
        <v>1911</v>
      </c>
      <c r="I43" s="6">
        <f t="shared" si="8"/>
        <v>1911</v>
      </c>
      <c r="J43" s="6">
        <v>1980</v>
      </c>
      <c r="K43" s="7">
        <f t="shared" si="9"/>
        <v>1980</v>
      </c>
      <c r="L43" s="6"/>
      <c r="M43" s="6">
        <f t="shared" si="38"/>
        <v>0</v>
      </c>
      <c r="N43" s="6"/>
      <c r="O43" s="7">
        <f t="shared" si="39"/>
        <v>0</v>
      </c>
      <c r="P43" s="13">
        <f t="shared" si="40"/>
        <v>1980</v>
      </c>
      <c r="Q43" s="5" t="str">
        <f t="shared" si="41"/>
        <v>DTS SANEAMENTO VÁLVULAS E CONEXÕES LTDA</v>
      </c>
      <c r="R43" s="1" t="str">
        <f>_xlfn.XLOOKUP(Q43,'RELAÇÃO DE FORNECEDORES'!$A$3:$A$287,'RELAÇÃO DE FORNECEDORES'!$B$3:$B$287)</f>
        <v>30.194.330/0001-26</v>
      </c>
      <c r="S43" s="1" t="str">
        <f>_xlfn.XLOOKUP(Q43,'RELAÇÃO DE FORNECEDORES'!$A$3:$A$287,'RELAÇÃO DE FORNECEDORES'!$E$3:$E$287)</f>
        <v>GILVAN MARTINS</v>
      </c>
      <c r="T43" s="12">
        <f>_xlfn.XLOOKUP(Q43,'RELAÇÃO DE FORNECEDORES'!$A$3:$A$287,'RELAÇÃO DE FORNECEDORES'!$C$3:$C$287)</f>
        <v>44546</v>
      </c>
    </row>
    <row r="44" spans="1:20" ht="25.5" x14ac:dyDescent="0.25">
      <c r="A44" s="11">
        <v>35</v>
      </c>
      <c r="B44" s="11" t="s">
        <v>418</v>
      </c>
      <c r="C44" s="14" t="s">
        <v>375</v>
      </c>
      <c r="D44" s="11" t="s">
        <v>4</v>
      </c>
      <c r="E44" s="8">
        <v>1</v>
      </c>
      <c r="F44" s="9">
        <v>1315.59</v>
      </c>
      <c r="G44" s="6">
        <f t="shared" si="7"/>
        <v>1315.59</v>
      </c>
      <c r="H44" s="6">
        <v>795</v>
      </c>
      <c r="I44" s="6">
        <f t="shared" si="8"/>
        <v>795</v>
      </c>
      <c r="J44" s="6">
        <v>1088</v>
      </c>
      <c r="K44" s="7">
        <f t="shared" si="9"/>
        <v>1088</v>
      </c>
      <c r="L44" s="6"/>
      <c r="M44" s="6">
        <f t="shared" si="38"/>
        <v>0</v>
      </c>
      <c r="N44" s="6"/>
      <c r="O44" s="7">
        <f t="shared" si="39"/>
        <v>0</v>
      </c>
      <c r="P44" s="13">
        <f t="shared" si="40"/>
        <v>1088</v>
      </c>
      <c r="Q44" s="5" t="str">
        <f t="shared" si="41"/>
        <v>DTS SANEAMENTO VÁLVULAS E CONEXÕES LTDA</v>
      </c>
      <c r="R44" s="1" t="str">
        <f>_xlfn.XLOOKUP(Q44,'RELAÇÃO DE FORNECEDORES'!$A$3:$A$287,'RELAÇÃO DE FORNECEDORES'!$B$3:$B$287)</f>
        <v>30.194.330/0001-26</v>
      </c>
      <c r="S44" s="1" t="str">
        <f>_xlfn.XLOOKUP(Q44,'RELAÇÃO DE FORNECEDORES'!$A$3:$A$287,'RELAÇÃO DE FORNECEDORES'!$E$3:$E$287)</f>
        <v>GILVAN MARTINS</v>
      </c>
      <c r="T44" s="12">
        <f>_xlfn.XLOOKUP(Q44,'RELAÇÃO DE FORNECEDORES'!$A$3:$A$287,'RELAÇÃO DE FORNECEDORES'!$C$3:$C$287)</f>
        <v>44546</v>
      </c>
    </row>
    <row r="45" spans="1:20" ht="25.5" x14ac:dyDescent="0.25">
      <c r="A45" s="11">
        <v>36</v>
      </c>
      <c r="B45" s="11" t="s">
        <v>419</v>
      </c>
      <c r="C45" s="14" t="s">
        <v>376</v>
      </c>
      <c r="D45" s="11" t="s">
        <v>4</v>
      </c>
      <c r="E45" s="8">
        <v>1</v>
      </c>
      <c r="F45" s="9">
        <v>2644.61</v>
      </c>
      <c r="G45" s="6">
        <f t="shared" si="7"/>
        <v>2644.61</v>
      </c>
      <c r="H45" s="6">
        <v>3772</v>
      </c>
      <c r="I45" s="6">
        <f t="shared" si="8"/>
        <v>3772</v>
      </c>
      <c r="J45" s="6">
        <v>2518.9</v>
      </c>
      <c r="K45" s="7">
        <f t="shared" si="9"/>
        <v>2518.9</v>
      </c>
      <c r="L45" s="6"/>
      <c r="M45" s="6">
        <f t="shared" si="38"/>
        <v>0</v>
      </c>
      <c r="N45" s="6"/>
      <c r="O45" s="7">
        <f t="shared" si="39"/>
        <v>0</v>
      </c>
      <c r="P45" s="13">
        <f t="shared" si="40"/>
        <v>2644.61</v>
      </c>
      <c r="Q45" s="5" t="str">
        <f t="shared" si="41"/>
        <v>ANGOLINI &amp; ANGOLINI LTDA</v>
      </c>
      <c r="R45" s="1" t="str">
        <f>_xlfn.XLOOKUP(Q45,'RELAÇÃO DE FORNECEDORES'!$A$3:$A$287,'RELAÇÃO DE FORNECEDORES'!$B$3:$B$287)</f>
        <v>44.829.653/0001-53</v>
      </c>
      <c r="S45" s="1" t="str">
        <f>_xlfn.XLOOKUP(Q45,'RELAÇÃO DE FORNECEDORES'!$A$3:$A$287,'RELAÇÃO DE FORNECEDORES'!$E$3:$E$287)</f>
        <v>ANTÔNIO CANDIDO</v>
      </c>
      <c r="T45" s="12">
        <f>_xlfn.XLOOKUP(Q45,'RELAÇÃO DE FORNECEDORES'!$A$3:$A$287,'RELAÇÃO DE FORNECEDORES'!$C$3:$C$287)</f>
        <v>44547</v>
      </c>
    </row>
    <row r="46" spans="1:20" x14ac:dyDescent="0.25">
      <c r="A46" s="11">
        <v>37</v>
      </c>
      <c r="B46" s="11" t="s">
        <v>420</v>
      </c>
      <c r="C46" s="14" t="s">
        <v>377</v>
      </c>
      <c r="D46" s="11" t="s">
        <v>4</v>
      </c>
      <c r="E46" s="8">
        <v>1</v>
      </c>
      <c r="F46" s="9">
        <v>9354.3700000000008</v>
      </c>
      <c r="G46" s="6">
        <f t="shared" si="7"/>
        <v>9354.3700000000008</v>
      </c>
      <c r="H46" s="6">
        <v>11200</v>
      </c>
      <c r="I46" s="6">
        <f t="shared" si="8"/>
        <v>11200</v>
      </c>
      <c r="J46" s="6">
        <v>8691</v>
      </c>
      <c r="K46" s="7">
        <f t="shared" si="9"/>
        <v>8691</v>
      </c>
      <c r="L46" s="6"/>
      <c r="M46" s="6">
        <f t="shared" si="38"/>
        <v>0</v>
      </c>
      <c r="N46" s="6"/>
      <c r="O46" s="7">
        <f t="shared" si="39"/>
        <v>0</v>
      </c>
      <c r="P46" s="13">
        <f t="shared" si="40"/>
        <v>9354.3700000000008</v>
      </c>
      <c r="Q46" s="5" t="str">
        <f t="shared" si="41"/>
        <v>ANGOLINI &amp; ANGOLINI LTDA</v>
      </c>
      <c r="R46" s="1" t="str">
        <f>_xlfn.XLOOKUP(Q46,'RELAÇÃO DE FORNECEDORES'!$A$3:$A$287,'RELAÇÃO DE FORNECEDORES'!$B$3:$B$287)</f>
        <v>44.829.653/0001-53</v>
      </c>
      <c r="S46" s="1" t="str">
        <f>_xlfn.XLOOKUP(Q46,'RELAÇÃO DE FORNECEDORES'!$A$3:$A$287,'RELAÇÃO DE FORNECEDORES'!$E$3:$E$287)</f>
        <v>ANTÔNIO CANDIDO</v>
      </c>
      <c r="T46" s="12">
        <f>_xlfn.XLOOKUP(Q46,'RELAÇÃO DE FORNECEDORES'!$A$3:$A$287,'RELAÇÃO DE FORNECEDORES'!$C$3:$C$287)</f>
        <v>44547</v>
      </c>
    </row>
    <row r="47" spans="1:20" ht="25.5" x14ac:dyDescent="0.25">
      <c r="A47" s="11">
        <v>38</v>
      </c>
      <c r="B47" s="11" t="s">
        <v>421</v>
      </c>
      <c r="C47" s="14" t="s">
        <v>378</v>
      </c>
      <c r="D47" s="11" t="s">
        <v>4</v>
      </c>
      <c r="E47" s="8">
        <v>1</v>
      </c>
      <c r="F47" s="9">
        <v>1241.1500000000001</v>
      </c>
      <c r="G47" s="6">
        <f t="shared" si="7"/>
        <v>1241.1500000000001</v>
      </c>
      <c r="H47" s="6">
        <v>1780</v>
      </c>
      <c r="I47" s="6">
        <f t="shared" si="8"/>
        <v>1780</v>
      </c>
      <c r="J47" s="6">
        <v>1051</v>
      </c>
      <c r="K47" s="7">
        <f t="shared" si="9"/>
        <v>1051</v>
      </c>
      <c r="L47" s="6"/>
      <c r="M47" s="6">
        <f t="shared" si="38"/>
        <v>0</v>
      </c>
      <c r="N47" s="6"/>
      <c r="O47" s="7">
        <f t="shared" si="39"/>
        <v>0</v>
      </c>
      <c r="P47" s="13">
        <f t="shared" si="40"/>
        <v>1241.1500000000001</v>
      </c>
      <c r="Q47" s="5" t="str">
        <f t="shared" si="41"/>
        <v>ANGOLINI &amp; ANGOLINI LTDA</v>
      </c>
      <c r="R47" s="1" t="str">
        <f>_xlfn.XLOOKUP(Q47,'RELAÇÃO DE FORNECEDORES'!$A$3:$A$287,'RELAÇÃO DE FORNECEDORES'!$B$3:$B$287)</f>
        <v>44.829.653/0001-53</v>
      </c>
      <c r="S47" s="1" t="str">
        <f>_xlfn.XLOOKUP(Q47,'RELAÇÃO DE FORNECEDORES'!$A$3:$A$287,'RELAÇÃO DE FORNECEDORES'!$E$3:$E$287)</f>
        <v>ANTÔNIO CANDIDO</v>
      </c>
      <c r="T47" s="12">
        <f>_xlfn.XLOOKUP(Q47,'RELAÇÃO DE FORNECEDORES'!$A$3:$A$287,'RELAÇÃO DE FORNECEDORES'!$C$3:$C$287)</f>
        <v>44547</v>
      </c>
    </row>
    <row r="48" spans="1:20" ht="25.5" x14ac:dyDescent="0.25">
      <c r="A48" s="11">
        <v>39</v>
      </c>
      <c r="B48" s="11" t="s">
        <v>422</v>
      </c>
      <c r="C48" s="14" t="s">
        <v>379</v>
      </c>
      <c r="D48" s="11" t="s">
        <v>4</v>
      </c>
      <c r="E48" s="8">
        <v>1</v>
      </c>
      <c r="F48" s="9">
        <v>1069.07</v>
      </c>
      <c r="G48" s="6">
        <f t="shared" si="7"/>
        <v>1069.07</v>
      </c>
      <c r="H48" s="6">
        <v>655</v>
      </c>
      <c r="I48" s="6">
        <f t="shared" si="8"/>
        <v>655</v>
      </c>
      <c r="J48" s="6">
        <v>832</v>
      </c>
      <c r="K48" s="7">
        <f t="shared" si="9"/>
        <v>832</v>
      </c>
      <c r="L48" s="6"/>
      <c r="M48" s="6">
        <f t="shared" si="38"/>
        <v>0</v>
      </c>
      <c r="N48" s="6"/>
      <c r="O48" s="7">
        <f t="shared" si="39"/>
        <v>0</v>
      </c>
      <c r="P48" s="13">
        <f t="shared" si="40"/>
        <v>832</v>
      </c>
      <c r="Q48" s="5" t="str">
        <f t="shared" si="41"/>
        <v>DTS SANEAMENTO VÁLVULAS E CONEXÕES LTDA</v>
      </c>
      <c r="R48" s="1" t="str">
        <f>_xlfn.XLOOKUP(Q48,'RELAÇÃO DE FORNECEDORES'!$A$3:$A$287,'RELAÇÃO DE FORNECEDORES'!$B$3:$B$287)</f>
        <v>30.194.330/0001-26</v>
      </c>
      <c r="S48" s="1" t="str">
        <f>_xlfn.XLOOKUP(Q48,'RELAÇÃO DE FORNECEDORES'!$A$3:$A$287,'RELAÇÃO DE FORNECEDORES'!$E$3:$E$287)</f>
        <v>GILVAN MARTINS</v>
      </c>
      <c r="T48" s="12">
        <f>_xlfn.XLOOKUP(Q48,'RELAÇÃO DE FORNECEDORES'!$A$3:$A$287,'RELAÇÃO DE FORNECEDORES'!$C$3:$C$287)</f>
        <v>44546</v>
      </c>
    </row>
    <row r="49" spans="1:20" x14ac:dyDescent="0.25">
      <c r="A49" s="11">
        <v>40</v>
      </c>
      <c r="B49" s="11" t="s">
        <v>423</v>
      </c>
      <c r="C49" s="14" t="s">
        <v>260</v>
      </c>
      <c r="D49" s="11" t="s">
        <v>4</v>
      </c>
      <c r="E49" s="8">
        <v>19</v>
      </c>
      <c r="F49" s="9">
        <v>63.7</v>
      </c>
      <c r="G49" s="6">
        <f t="shared" si="7"/>
        <v>1210.3</v>
      </c>
      <c r="H49" s="6">
        <v>48</v>
      </c>
      <c r="I49" s="6">
        <f t="shared" si="8"/>
        <v>912</v>
      </c>
      <c r="J49" s="6">
        <v>68</v>
      </c>
      <c r="K49" s="7">
        <f t="shared" si="9"/>
        <v>1292</v>
      </c>
      <c r="L49" s="6"/>
      <c r="M49" s="6">
        <f t="shared" si="38"/>
        <v>0</v>
      </c>
      <c r="N49" s="6"/>
      <c r="O49" s="7">
        <f t="shared" si="39"/>
        <v>0</v>
      </c>
      <c r="P49" s="13">
        <f t="shared" si="40"/>
        <v>63.7</v>
      </c>
      <c r="Q49" s="5" t="str">
        <f t="shared" si="41"/>
        <v>ANGOLINI &amp; ANGOLINI LTDA</v>
      </c>
      <c r="R49" s="1" t="str">
        <f>_xlfn.XLOOKUP(Q49,'RELAÇÃO DE FORNECEDORES'!$A$3:$A$287,'RELAÇÃO DE FORNECEDORES'!$B$3:$B$287)</f>
        <v>44.829.653/0001-53</v>
      </c>
      <c r="S49" s="1" t="str">
        <f>_xlfn.XLOOKUP(Q49,'RELAÇÃO DE FORNECEDORES'!$A$3:$A$287,'RELAÇÃO DE FORNECEDORES'!$E$3:$E$287)</f>
        <v>ANTÔNIO CANDIDO</v>
      </c>
      <c r="T49" s="12">
        <f>_xlfn.XLOOKUP(Q49,'RELAÇÃO DE FORNECEDORES'!$A$3:$A$287,'RELAÇÃO DE FORNECEDORES'!$C$3:$C$287)</f>
        <v>44547</v>
      </c>
    </row>
    <row r="50" spans="1:20" ht="25.5" x14ac:dyDescent="0.25">
      <c r="A50" s="11">
        <v>41</v>
      </c>
      <c r="B50" s="11" t="s">
        <v>424</v>
      </c>
      <c r="C50" s="14" t="s">
        <v>380</v>
      </c>
      <c r="D50" s="11" t="s">
        <v>4</v>
      </c>
      <c r="E50" s="8">
        <v>14</v>
      </c>
      <c r="F50" s="9">
        <v>47.23</v>
      </c>
      <c r="G50" s="6">
        <f t="shared" si="7"/>
        <v>661.21999999999991</v>
      </c>
      <c r="H50" s="6">
        <v>30</v>
      </c>
      <c r="I50" s="6">
        <f t="shared" si="8"/>
        <v>420</v>
      </c>
      <c r="J50" s="6">
        <v>0</v>
      </c>
      <c r="K50" s="7">
        <f t="shared" si="9"/>
        <v>0</v>
      </c>
      <c r="L50" s="6"/>
      <c r="M50" s="6">
        <f t="shared" si="38"/>
        <v>0</v>
      </c>
      <c r="N50" s="6"/>
      <c r="O50" s="7">
        <f t="shared" si="39"/>
        <v>0</v>
      </c>
      <c r="P50" s="13">
        <f t="shared" si="40"/>
        <v>30</v>
      </c>
      <c r="Q50" s="5" t="str">
        <f t="shared" si="41"/>
        <v>V E GOMES ARAUJO EIRELI (MT SANEAMENTO)</v>
      </c>
      <c r="R50" s="1" t="str">
        <f>_xlfn.XLOOKUP(Q50,'RELAÇÃO DE FORNECEDORES'!$A$3:$A$287,'RELAÇÃO DE FORNECEDORES'!$B$3:$B$287)</f>
        <v>20.775.930/0001-24</v>
      </c>
      <c r="S50" s="1" t="str">
        <f>_xlfn.XLOOKUP(Q50,'RELAÇÃO DE FORNECEDORES'!$A$3:$A$287,'RELAÇÃO DE FORNECEDORES'!$E$3:$E$287)</f>
        <v>VICTOR ARAUJO</v>
      </c>
      <c r="T50" s="12">
        <f>_xlfn.XLOOKUP(Q50,'RELAÇÃO DE FORNECEDORES'!$A$3:$A$287,'RELAÇÃO DE FORNECEDORES'!$C$3:$C$287)</f>
        <v>44547</v>
      </c>
    </row>
    <row r="51" spans="1:20" x14ac:dyDescent="0.25">
      <c r="A51" s="11">
        <v>42</v>
      </c>
      <c r="B51" s="11" t="s">
        <v>425</v>
      </c>
      <c r="C51" s="14" t="s">
        <v>261</v>
      </c>
      <c r="D51" s="11" t="s">
        <v>4</v>
      </c>
      <c r="E51" s="8">
        <v>8</v>
      </c>
      <c r="F51" s="9">
        <v>29.11</v>
      </c>
      <c r="G51" s="6">
        <f t="shared" si="7"/>
        <v>232.88</v>
      </c>
      <c r="H51" s="6">
        <v>24</v>
      </c>
      <c r="I51" s="6">
        <f t="shared" si="8"/>
        <v>192</v>
      </c>
      <c r="J51" s="6">
        <v>42</v>
      </c>
      <c r="K51" s="7">
        <f t="shared" si="9"/>
        <v>336</v>
      </c>
      <c r="L51" s="6"/>
      <c r="M51" s="6">
        <f t="shared" si="38"/>
        <v>0</v>
      </c>
      <c r="N51" s="6"/>
      <c r="O51" s="7">
        <f t="shared" si="39"/>
        <v>0</v>
      </c>
      <c r="P51" s="13">
        <f t="shared" si="40"/>
        <v>29.11</v>
      </c>
      <c r="Q51" s="5" t="str">
        <f t="shared" si="41"/>
        <v>ANGOLINI &amp; ANGOLINI LTDA</v>
      </c>
      <c r="R51" s="1" t="str">
        <f>_xlfn.XLOOKUP(Q51,'RELAÇÃO DE FORNECEDORES'!$A$3:$A$287,'RELAÇÃO DE FORNECEDORES'!$B$3:$B$287)</f>
        <v>44.829.653/0001-53</v>
      </c>
      <c r="S51" s="1" t="str">
        <f>_xlfn.XLOOKUP(Q51,'RELAÇÃO DE FORNECEDORES'!$A$3:$A$287,'RELAÇÃO DE FORNECEDORES'!$E$3:$E$287)</f>
        <v>ANTÔNIO CANDIDO</v>
      </c>
      <c r="T51" s="12">
        <f>_xlfn.XLOOKUP(Q51,'RELAÇÃO DE FORNECEDORES'!$A$3:$A$287,'RELAÇÃO DE FORNECEDORES'!$C$3:$C$287)</f>
        <v>44547</v>
      </c>
    </row>
    <row r="52" spans="1:20" ht="25.5" x14ac:dyDescent="0.25">
      <c r="A52" s="11">
        <v>43</v>
      </c>
      <c r="B52" s="11" t="s">
        <v>426</v>
      </c>
      <c r="C52" s="14" t="s">
        <v>344</v>
      </c>
      <c r="D52" s="11" t="s">
        <v>4</v>
      </c>
      <c r="E52" s="8">
        <v>3</v>
      </c>
      <c r="F52" s="9">
        <v>18.309999999999999</v>
      </c>
      <c r="G52" s="6">
        <f t="shared" si="7"/>
        <v>54.929999999999993</v>
      </c>
      <c r="H52" s="6">
        <v>14</v>
      </c>
      <c r="I52" s="6">
        <f t="shared" si="8"/>
        <v>42</v>
      </c>
      <c r="J52" s="6">
        <v>14.9</v>
      </c>
      <c r="K52" s="7">
        <f t="shared" si="9"/>
        <v>44.7</v>
      </c>
      <c r="L52" s="6"/>
      <c r="M52" s="6">
        <f t="shared" si="38"/>
        <v>0</v>
      </c>
      <c r="N52" s="6"/>
      <c r="O52" s="7">
        <f t="shared" si="39"/>
        <v>0</v>
      </c>
      <c r="P52" s="13">
        <f t="shared" si="40"/>
        <v>14.9</v>
      </c>
      <c r="Q52" s="5" t="str">
        <f t="shared" si="41"/>
        <v>DTS SANEAMENTO VÁLVULAS E CONEXÕES LTDA</v>
      </c>
      <c r="R52" s="1" t="str">
        <f>_xlfn.XLOOKUP(Q52,'RELAÇÃO DE FORNECEDORES'!$A$3:$A$287,'RELAÇÃO DE FORNECEDORES'!$B$3:$B$287)</f>
        <v>30.194.330/0001-26</v>
      </c>
      <c r="S52" s="1" t="str">
        <f>_xlfn.XLOOKUP(Q52,'RELAÇÃO DE FORNECEDORES'!$A$3:$A$287,'RELAÇÃO DE FORNECEDORES'!$E$3:$E$287)</f>
        <v>GILVAN MARTINS</v>
      </c>
      <c r="T52" s="12">
        <f>_xlfn.XLOOKUP(Q52,'RELAÇÃO DE FORNECEDORES'!$A$3:$A$287,'RELAÇÃO DE FORNECEDORES'!$C$3:$C$287)</f>
        <v>44546</v>
      </c>
    </row>
    <row r="53" spans="1:20" ht="25.5" x14ac:dyDescent="0.25">
      <c r="A53" s="11">
        <v>44</v>
      </c>
      <c r="B53" s="11" t="s">
        <v>427</v>
      </c>
      <c r="C53" s="14" t="s">
        <v>196</v>
      </c>
      <c r="D53" s="11" t="s">
        <v>4</v>
      </c>
      <c r="E53" s="8">
        <v>4</v>
      </c>
      <c r="F53" s="9">
        <v>9.6999999999999993</v>
      </c>
      <c r="G53" s="6">
        <f t="shared" si="7"/>
        <v>38.799999999999997</v>
      </c>
      <c r="H53" s="6">
        <v>10</v>
      </c>
      <c r="I53" s="6">
        <f t="shared" si="8"/>
        <v>40</v>
      </c>
      <c r="J53" s="6">
        <v>10.5</v>
      </c>
      <c r="K53" s="7">
        <f t="shared" si="9"/>
        <v>42</v>
      </c>
      <c r="L53" s="6"/>
      <c r="M53" s="6">
        <f t="shared" si="38"/>
        <v>0</v>
      </c>
      <c r="N53" s="6"/>
      <c r="O53" s="7">
        <f t="shared" si="39"/>
        <v>0</v>
      </c>
      <c r="P53" s="13">
        <f t="shared" si="40"/>
        <v>10</v>
      </c>
      <c r="Q53" s="5" t="str">
        <f t="shared" si="41"/>
        <v>V E GOMES ARAUJO EIRELI (MT SANEAMENTO)</v>
      </c>
      <c r="R53" s="1" t="str">
        <f>_xlfn.XLOOKUP(Q53,'RELAÇÃO DE FORNECEDORES'!$A$3:$A$287,'RELAÇÃO DE FORNECEDORES'!$B$3:$B$287)</f>
        <v>20.775.930/0001-24</v>
      </c>
      <c r="S53" s="1" t="str">
        <f>_xlfn.XLOOKUP(Q53,'RELAÇÃO DE FORNECEDORES'!$A$3:$A$287,'RELAÇÃO DE FORNECEDORES'!$E$3:$E$287)</f>
        <v>VICTOR ARAUJO</v>
      </c>
      <c r="T53" s="12">
        <f>_xlfn.XLOOKUP(Q53,'RELAÇÃO DE FORNECEDORES'!$A$3:$A$287,'RELAÇÃO DE FORNECEDORES'!$C$3:$C$287)</f>
        <v>44547</v>
      </c>
    </row>
    <row r="54" spans="1:20" ht="25.5" x14ac:dyDescent="0.25">
      <c r="A54" s="11">
        <v>45</v>
      </c>
      <c r="B54" s="11" t="s">
        <v>428</v>
      </c>
      <c r="C54" s="14" t="s">
        <v>381</v>
      </c>
      <c r="D54" s="11" t="s">
        <v>4</v>
      </c>
      <c r="E54" s="8">
        <v>380</v>
      </c>
      <c r="F54" s="9">
        <v>51.5</v>
      </c>
      <c r="G54" s="6">
        <f t="shared" si="7"/>
        <v>19570</v>
      </c>
      <c r="H54" s="6">
        <v>62</v>
      </c>
      <c r="I54" s="6">
        <f t="shared" si="8"/>
        <v>23560</v>
      </c>
      <c r="J54" s="6">
        <v>36</v>
      </c>
      <c r="K54" s="7">
        <f t="shared" si="9"/>
        <v>13680</v>
      </c>
      <c r="L54" s="6"/>
      <c r="M54" s="6">
        <f t="shared" si="38"/>
        <v>0</v>
      </c>
      <c r="N54" s="6"/>
      <c r="O54" s="7">
        <f t="shared" si="39"/>
        <v>0</v>
      </c>
      <c r="P54" s="13">
        <f t="shared" si="40"/>
        <v>51.5</v>
      </c>
      <c r="Q54" s="5" t="str">
        <f t="shared" si="41"/>
        <v>ANGOLINI &amp; ANGOLINI LTDA</v>
      </c>
      <c r="R54" s="1" t="str">
        <f>_xlfn.XLOOKUP(Q54,'RELAÇÃO DE FORNECEDORES'!$A$3:$A$287,'RELAÇÃO DE FORNECEDORES'!$B$3:$B$287)</f>
        <v>44.829.653/0001-53</v>
      </c>
      <c r="S54" s="1" t="str">
        <f>_xlfn.XLOOKUP(Q54,'RELAÇÃO DE FORNECEDORES'!$A$3:$A$287,'RELAÇÃO DE FORNECEDORES'!$E$3:$E$287)</f>
        <v>ANTÔNIO CANDIDO</v>
      </c>
      <c r="T54" s="12">
        <f>_xlfn.XLOOKUP(Q54,'RELAÇÃO DE FORNECEDORES'!$A$3:$A$287,'RELAÇÃO DE FORNECEDORES'!$C$3:$C$287)</f>
        <v>44547</v>
      </c>
    </row>
    <row r="55" spans="1:20" ht="25.5" x14ac:dyDescent="0.25">
      <c r="A55" s="11">
        <v>46</v>
      </c>
      <c r="B55" s="11" t="s">
        <v>429</v>
      </c>
      <c r="C55" s="14" t="s">
        <v>382</v>
      </c>
      <c r="D55" s="11" t="s">
        <v>4</v>
      </c>
      <c r="E55" s="8">
        <v>280</v>
      </c>
      <c r="F55" s="9">
        <v>32.71</v>
      </c>
      <c r="G55" s="6">
        <f t="shared" si="7"/>
        <v>9158.8000000000011</v>
      </c>
      <c r="H55" s="6">
        <v>36</v>
      </c>
      <c r="I55" s="6">
        <f t="shared" si="8"/>
        <v>10080</v>
      </c>
      <c r="J55" s="6">
        <v>28</v>
      </c>
      <c r="K55" s="7">
        <f t="shared" si="9"/>
        <v>7840</v>
      </c>
      <c r="L55" s="6"/>
      <c r="M55" s="6">
        <f t="shared" si="38"/>
        <v>0</v>
      </c>
      <c r="N55" s="6"/>
      <c r="O55" s="7">
        <f t="shared" si="39"/>
        <v>0</v>
      </c>
      <c r="P55" s="13">
        <f t="shared" si="40"/>
        <v>32.71</v>
      </c>
      <c r="Q55" s="5" t="str">
        <f t="shared" si="41"/>
        <v>ANGOLINI &amp; ANGOLINI LTDA</v>
      </c>
      <c r="R55" s="1" t="str">
        <f>_xlfn.XLOOKUP(Q55,'RELAÇÃO DE FORNECEDORES'!$A$3:$A$287,'RELAÇÃO DE FORNECEDORES'!$B$3:$B$287)</f>
        <v>44.829.653/0001-53</v>
      </c>
      <c r="S55" s="1" t="str">
        <f>_xlfn.XLOOKUP(Q55,'RELAÇÃO DE FORNECEDORES'!$A$3:$A$287,'RELAÇÃO DE FORNECEDORES'!$E$3:$E$287)</f>
        <v>ANTÔNIO CANDIDO</v>
      </c>
      <c r="T55" s="12">
        <f>_xlfn.XLOOKUP(Q55,'RELAÇÃO DE FORNECEDORES'!$A$3:$A$287,'RELAÇÃO DE FORNECEDORES'!$C$3:$C$287)</f>
        <v>44547</v>
      </c>
    </row>
    <row r="56" spans="1:20" ht="25.5" x14ac:dyDescent="0.25">
      <c r="A56" s="11">
        <v>47</v>
      </c>
      <c r="B56" s="11" t="s">
        <v>430</v>
      </c>
      <c r="C56" s="14" t="s">
        <v>345</v>
      </c>
      <c r="D56" s="11" t="s">
        <v>4</v>
      </c>
      <c r="E56" s="8">
        <v>128</v>
      </c>
      <c r="F56" s="9">
        <v>32.71</v>
      </c>
      <c r="G56" s="6">
        <f t="shared" si="7"/>
        <v>4186.88</v>
      </c>
      <c r="H56" s="6">
        <v>36</v>
      </c>
      <c r="I56" s="6">
        <f t="shared" si="8"/>
        <v>4608</v>
      </c>
      <c r="J56" s="6">
        <v>28</v>
      </c>
      <c r="K56" s="7">
        <f t="shared" si="9"/>
        <v>3584</v>
      </c>
      <c r="L56" s="6"/>
      <c r="M56" s="6" t="e">
        <f>L56*#REF!</f>
        <v>#REF!</v>
      </c>
      <c r="N56" s="6"/>
      <c r="O56" s="7" t="e">
        <f>N56*#REF!</f>
        <v>#REF!</v>
      </c>
      <c r="P56" s="13">
        <f t="shared" si="40"/>
        <v>32.71</v>
      </c>
      <c r="Q56" s="5" t="str">
        <f t="shared" si="41"/>
        <v>ANGOLINI &amp; ANGOLINI LTDA</v>
      </c>
      <c r="R56" s="1" t="str">
        <f>_xlfn.XLOOKUP(Q56,'RELAÇÃO DE FORNECEDORES'!$A$3:$A$287,'RELAÇÃO DE FORNECEDORES'!$B$3:$B$287)</f>
        <v>44.829.653/0001-53</v>
      </c>
      <c r="S56" s="1" t="str">
        <f>_xlfn.XLOOKUP(Q56,'RELAÇÃO DE FORNECEDORES'!$A$3:$A$287,'RELAÇÃO DE FORNECEDORES'!$E$3:$E$287)</f>
        <v>ANTÔNIO CANDIDO</v>
      </c>
      <c r="T56" s="12">
        <f>_xlfn.XLOOKUP(Q56,'RELAÇÃO DE FORNECEDORES'!$A$3:$A$287,'RELAÇÃO DE FORNECEDORES'!$C$3:$C$287)</f>
        <v>44547</v>
      </c>
    </row>
    <row r="57" spans="1:20" ht="25.5" x14ac:dyDescent="0.25">
      <c r="A57" s="11">
        <v>48</v>
      </c>
      <c r="B57" s="11" t="s">
        <v>431</v>
      </c>
      <c r="C57" s="14" t="s">
        <v>346</v>
      </c>
      <c r="D57" s="11" t="s">
        <v>4</v>
      </c>
      <c r="E57" s="8">
        <v>36</v>
      </c>
      <c r="F57" s="9">
        <v>20.5</v>
      </c>
      <c r="G57" s="6">
        <f t="shared" si="7"/>
        <v>738</v>
      </c>
      <c r="H57" s="6">
        <v>28</v>
      </c>
      <c r="I57" s="6">
        <f t="shared" si="8"/>
        <v>1008</v>
      </c>
      <c r="J57" s="6">
        <v>20.9</v>
      </c>
      <c r="K57" s="7">
        <f t="shared" si="9"/>
        <v>752.4</v>
      </c>
      <c r="L57" s="6"/>
      <c r="M57" s="6" t="e">
        <f>L57*#REF!</f>
        <v>#REF!</v>
      </c>
      <c r="N57" s="6"/>
      <c r="O57" s="7" t="e">
        <f>N57*#REF!</f>
        <v>#REF!</v>
      </c>
      <c r="P57" s="13">
        <f t="shared" si="36"/>
        <v>20.9</v>
      </c>
      <c r="Q57" s="5" t="str">
        <f t="shared" si="37"/>
        <v>DTS SANEAMENTO VÁLVULAS E CONEXÕES LTDA</v>
      </c>
      <c r="R57" s="1" t="str">
        <f>_xlfn.XLOOKUP(Q57,'RELAÇÃO DE FORNECEDORES'!$A$3:$A$287,'RELAÇÃO DE FORNECEDORES'!$B$3:$B$287)</f>
        <v>30.194.330/0001-26</v>
      </c>
      <c r="S57" s="1" t="str">
        <f>_xlfn.XLOOKUP(Q57,'RELAÇÃO DE FORNECEDORES'!$A$3:$A$287,'RELAÇÃO DE FORNECEDORES'!$E$3:$E$287)</f>
        <v>GILVAN MARTINS</v>
      </c>
      <c r="T57" s="12">
        <f>_xlfn.XLOOKUP(Q57,'RELAÇÃO DE FORNECEDORES'!$A$3:$A$287,'RELAÇÃO DE FORNECEDORES'!$C$3:$C$287)</f>
        <v>44546</v>
      </c>
    </row>
    <row r="58" spans="1:20" ht="25.5" x14ac:dyDescent="0.25">
      <c r="A58" s="11">
        <v>49</v>
      </c>
      <c r="B58" s="11" t="s">
        <v>432</v>
      </c>
      <c r="C58" s="14" t="s">
        <v>383</v>
      </c>
      <c r="D58" s="11" t="s">
        <v>4</v>
      </c>
      <c r="E58" s="8">
        <v>32</v>
      </c>
      <c r="F58" s="9">
        <v>20</v>
      </c>
      <c r="G58" s="6">
        <f t="shared" si="7"/>
        <v>640</v>
      </c>
      <c r="H58" s="6">
        <v>27</v>
      </c>
      <c r="I58" s="6">
        <f t="shared" si="8"/>
        <v>864</v>
      </c>
      <c r="J58" s="6">
        <v>19.8</v>
      </c>
      <c r="K58" s="7">
        <f t="shared" si="9"/>
        <v>633.6</v>
      </c>
      <c r="L58" s="6"/>
      <c r="M58" s="6" t="e">
        <f>L58*#REF!</f>
        <v>#REF!</v>
      </c>
      <c r="N58" s="6"/>
      <c r="O58" s="7" t="e">
        <f>N58*#REF!</f>
        <v>#REF!</v>
      </c>
      <c r="P58" s="13">
        <f t="shared" si="36"/>
        <v>20</v>
      </c>
      <c r="Q58" s="5" t="str">
        <f t="shared" si="37"/>
        <v>ANGOLINI &amp; ANGOLINI LTDA</v>
      </c>
      <c r="R58" s="1" t="str">
        <f>_xlfn.XLOOKUP(Q58,'RELAÇÃO DE FORNECEDORES'!$A$3:$A$287,'RELAÇÃO DE FORNECEDORES'!$B$3:$B$287)</f>
        <v>44.829.653/0001-53</v>
      </c>
      <c r="S58" s="1" t="str">
        <f>_xlfn.XLOOKUP(Q58,'RELAÇÃO DE FORNECEDORES'!$A$3:$A$287,'RELAÇÃO DE FORNECEDORES'!$E$3:$E$287)</f>
        <v>ANTÔNIO CANDIDO</v>
      </c>
      <c r="T58" s="12">
        <f>_xlfn.XLOOKUP(Q58,'RELAÇÃO DE FORNECEDORES'!$A$3:$A$287,'RELAÇÃO DE FORNECEDORES'!$C$3:$C$287)</f>
        <v>44547</v>
      </c>
    </row>
    <row r="59" spans="1:20" x14ac:dyDescent="0.25">
      <c r="L59" s="10"/>
      <c r="N59" s="6"/>
    </row>
    <row r="60" spans="1:20" x14ac:dyDescent="0.25">
      <c r="H60" s="15"/>
      <c r="L60" s="10"/>
      <c r="N60" s="6"/>
    </row>
    <row r="61" spans="1:20" x14ac:dyDescent="0.25">
      <c r="L61" s="10"/>
    </row>
    <row r="62" spans="1:20" x14ac:dyDescent="0.25">
      <c r="A62" s="96" t="s">
        <v>56</v>
      </c>
      <c r="B62" s="96"/>
      <c r="C62" s="96"/>
      <c r="D62" s="96"/>
      <c r="E62" s="96"/>
      <c r="F62" s="96"/>
      <c r="G62" s="96"/>
      <c r="H62" s="96"/>
      <c r="I62" s="96"/>
      <c r="J62" s="96"/>
      <c r="K62" s="96"/>
      <c r="L62" s="96"/>
      <c r="M62" s="96"/>
      <c r="N62" s="96"/>
      <c r="O62" s="96"/>
      <c r="P62" s="96"/>
      <c r="Q62" s="96"/>
      <c r="R62" s="96"/>
      <c r="S62" s="96"/>
      <c r="T62" s="96"/>
    </row>
    <row r="63" spans="1:20" x14ac:dyDescent="0.25">
      <c r="A63" s="93" t="s">
        <v>27</v>
      </c>
      <c r="B63" s="93"/>
      <c r="C63" s="93"/>
      <c r="D63" s="93"/>
      <c r="E63" s="94"/>
      <c r="F63" s="95" t="s">
        <v>23</v>
      </c>
      <c r="G63" s="93"/>
      <c r="H63" s="93"/>
      <c r="I63" s="93"/>
      <c r="J63" s="93"/>
      <c r="K63" s="93"/>
      <c r="L63" s="93"/>
      <c r="M63" s="93"/>
      <c r="N63" s="93"/>
      <c r="O63" s="94"/>
      <c r="P63" s="78" t="s">
        <v>25</v>
      </c>
      <c r="Q63" s="78"/>
      <c r="R63" s="78"/>
      <c r="S63" s="78"/>
      <c r="T63" s="78"/>
    </row>
    <row r="64" spans="1:20" ht="53.25" customHeight="1" x14ac:dyDescent="0.25">
      <c r="A64" s="79" t="s">
        <v>1</v>
      </c>
      <c r="B64" s="79" t="s">
        <v>13</v>
      </c>
      <c r="C64" s="81" t="s">
        <v>0</v>
      </c>
      <c r="D64" s="79" t="s">
        <v>2</v>
      </c>
      <c r="E64" s="83" t="s">
        <v>17</v>
      </c>
      <c r="F64" s="85" t="s">
        <v>6</v>
      </c>
      <c r="G64" s="86"/>
      <c r="H64" s="86" t="s">
        <v>18</v>
      </c>
      <c r="I64" s="86"/>
      <c r="J64" s="86" t="s">
        <v>19</v>
      </c>
      <c r="K64" s="87"/>
      <c r="L64" s="86" t="s">
        <v>20</v>
      </c>
      <c r="M64" s="86"/>
      <c r="N64" s="86" t="s">
        <v>21</v>
      </c>
      <c r="O64" s="87"/>
      <c r="P64" s="88" t="s">
        <v>26</v>
      </c>
      <c r="Q64" s="79"/>
      <c r="R64" s="79"/>
      <c r="S64" s="79"/>
      <c r="T64" s="79"/>
    </row>
    <row r="65" spans="1:20" ht="53.25" customHeight="1" x14ac:dyDescent="0.25">
      <c r="A65" s="80"/>
      <c r="B65" s="80"/>
      <c r="C65" s="82"/>
      <c r="D65" s="80"/>
      <c r="E65" s="84"/>
      <c r="F65" s="90" t="s">
        <v>104</v>
      </c>
      <c r="G65" s="91"/>
      <c r="H65" s="91" t="s">
        <v>433</v>
      </c>
      <c r="I65" s="91"/>
      <c r="J65" s="91" t="s">
        <v>206</v>
      </c>
      <c r="K65" s="91"/>
      <c r="L65" s="91"/>
      <c r="M65" s="91"/>
      <c r="N65" s="91"/>
      <c r="O65" s="92"/>
      <c r="P65" s="89"/>
      <c r="Q65" s="78"/>
      <c r="R65" s="78"/>
      <c r="S65" s="78"/>
      <c r="T65" s="78"/>
    </row>
    <row r="66" spans="1:20" ht="25.5" x14ac:dyDescent="0.25">
      <c r="A66" s="80"/>
      <c r="B66" s="80"/>
      <c r="C66" s="82"/>
      <c r="D66" s="80"/>
      <c r="E66" s="18" t="s">
        <v>3</v>
      </c>
      <c r="F66" s="19" t="s">
        <v>15</v>
      </c>
      <c r="G66" s="20" t="s">
        <v>16</v>
      </c>
      <c r="H66" s="20" t="s">
        <v>15</v>
      </c>
      <c r="I66" s="20" t="s">
        <v>16</v>
      </c>
      <c r="J66" s="20" t="s">
        <v>15</v>
      </c>
      <c r="K66" s="21" t="s">
        <v>16</v>
      </c>
      <c r="L66" s="20" t="s">
        <v>15</v>
      </c>
      <c r="M66" s="20" t="s">
        <v>16</v>
      </c>
      <c r="N66" s="20" t="s">
        <v>15</v>
      </c>
      <c r="O66" s="21" t="s">
        <v>16</v>
      </c>
      <c r="P66" s="22" t="s">
        <v>24</v>
      </c>
      <c r="Q66" s="22" t="s">
        <v>5</v>
      </c>
      <c r="R66" s="22" t="s">
        <v>8</v>
      </c>
      <c r="S66" s="22" t="s">
        <v>9</v>
      </c>
      <c r="T66" s="20" t="s">
        <v>14</v>
      </c>
    </row>
    <row r="67" spans="1:20" hidden="1" x14ac:dyDescent="0.25">
      <c r="A67" s="11" t="s">
        <v>59</v>
      </c>
      <c r="B67" s="11" t="s">
        <v>60</v>
      </c>
      <c r="C67" s="14" t="s">
        <v>61</v>
      </c>
      <c r="D67" s="11" t="s">
        <v>62</v>
      </c>
      <c r="E67" s="8" t="s">
        <v>63</v>
      </c>
      <c r="F67" s="9" t="s">
        <v>64</v>
      </c>
      <c r="G67" s="6" t="s">
        <v>65</v>
      </c>
      <c r="H67" s="6" t="s">
        <v>66</v>
      </c>
      <c r="I67" s="6" t="s">
        <v>67</v>
      </c>
      <c r="J67" s="6" t="s">
        <v>68</v>
      </c>
      <c r="K67" s="7" t="s">
        <v>69</v>
      </c>
      <c r="L67" s="6" t="s">
        <v>70</v>
      </c>
      <c r="M67" s="6" t="s">
        <v>71</v>
      </c>
      <c r="N67" s="6" t="s">
        <v>72</v>
      </c>
      <c r="O67" s="7" t="s">
        <v>73</v>
      </c>
      <c r="P67" s="13" t="s">
        <v>74</v>
      </c>
      <c r="Q67" s="5" t="s">
        <v>75</v>
      </c>
      <c r="R67" s="1" t="s">
        <v>76</v>
      </c>
      <c r="S67" s="1" t="s">
        <v>77</v>
      </c>
      <c r="T67" s="12" t="s">
        <v>78</v>
      </c>
    </row>
    <row r="68" spans="1:20" ht="38.25" x14ac:dyDescent="0.25">
      <c r="A68" s="11">
        <v>1</v>
      </c>
      <c r="B68" s="11" t="s">
        <v>87</v>
      </c>
      <c r="C68" s="14" t="s">
        <v>42</v>
      </c>
      <c r="D68" s="11" t="s">
        <v>4</v>
      </c>
      <c r="E68" s="8">
        <v>2</v>
      </c>
      <c r="F68" s="9">
        <v>76702</v>
      </c>
      <c r="G68" s="6">
        <f>F68*$E68</f>
        <v>153404</v>
      </c>
      <c r="H68" s="6">
        <v>118819</v>
      </c>
      <c r="I68" s="6">
        <f>H68*$E68</f>
        <v>237638</v>
      </c>
      <c r="J68" s="6">
        <v>85000</v>
      </c>
      <c r="K68" s="7">
        <f>J68*$E68</f>
        <v>170000</v>
      </c>
      <c r="L68" s="6"/>
      <c r="M68" s="6">
        <f>L68*$E68</f>
        <v>0</v>
      </c>
      <c r="N68" s="6"/>
      <c r="O68" s="7">
        <f>N68*$E68</f>
        <v>0</v>
      </c>
      <c r="P68" s="13">
        <f>MEDIAN(J68,H68,F68,L68,N68)</f>
        <v>85000</v>
      </c>
      <c r="Q68" s="23" t="str">
        <f t="shared" ref="Q68" si="42">_xlfn.XLOOKUP(P68,F68:O68,$F$65:$O$65)</f>
        <v>V E GOMES ARAUJO EIRELI (MT SANEAMENTO)</v>
      </c>
      <c r="R68" s="1" t="str">
        <f>_xlfn.XLOOKUP(Q68,'RELAÇÃO DE FORNECEDORES'!$A$3:$A$287,'RELAÇÃO DE FORNECEDORES'!$B$3:$B$287)</f>
        <v>20.775.930/0001-24</v>
      </c>
      <c r="S68" s="1" t="str">
        <f>_xlfn.XLOOKUP(Q68,'RELAÇÃO DE FORNECEDORES'!$A$3:$A$287,'RELAÇÃO DE FORNECEDORES'!$E$3:$E$287)</f>
        <v>VICTOR ARAUJO</v>
      </c>
      <c r="T68" s="12">
        <f>_xlfn.XLOOKUP(Q68,'RELAÇÃO DE FORNECEDORES'!$A$3:$A$287,'RELAÇÃO DE FORNECEDORES'!$C$3:$C$287)</f>
        <v>44547</v>
      </c>
    </row>
    <row r="73" spans="1:20" x14ac:dyDescent="0.25">
      <c r="A73" s="96" t="s">
        <v>91</v>
      </c>
      <c r="B73" s="96"/>
      <c r="C73" s="96"/>
      <c r="D73" s="96"/>
      <c r="E73" s="96"/>
      <c r="F73" s="96"/>
      <c r="G73" s="96"/>
      <c r="H73" s="96"/>
      <c r="I73" s="96"/>
      <c r="J73" s="96"/>
      <c r="K73" s="96"/>
      <c r="L73" s="96"/>
      <c r="M73" s="96"/>
      <c r="N73" s="96"/>
      <c r="O73" s="96"/>
      <c r="P73" s="96"/>
      <c r="Q73" s="96"/>
      <c r="R73" s="96"/>
      <c r="S73" s="96"/>
      <c r="T73" s="96"/>
    </row>
    <row r="74" spans="1:20" x14ac:dyDescent="0.25">
      <c r="A74" s="93" t="s">
        <v>27</v>
      </c>
      <c r="B74" s="93"/>
      <c r="C74" s="93"/>
      <c r="D74" s="93"/>
      <c r="E74" s="94"/>
      <c r="F74" s="95" t="s">
        <v>23</v>
      </c>
      <c r="G74" s="93"/>
      <c r="H74" s="93"/>
      <c r="I74" s="93"/>
      <c r="J74" s="93"/>
      <c r="K74" s="93"/>
      <c r="L74" s="93"/>
      <c r="M74" s="93"/>
      <c r="N74" s="93"/>
      <c r="O74" s="94"/>
      <c r="P74" s="78" t="s">
        <v>25</v>
      </c>
      <c r="Q74" s="78"/>
      <c r="R74" s="78"/>
      <c r="S74" s="78"/>
      <c r="T74" s="78"/>
    </row>
    <row r="75" spans="1:20" ht="60" customHeight="1" x14ac:dyDescent="0.25">
      <c r="A75" s="79" t="s">
        <v>1</v>
      </c>
      <c r="B75" s="79" t="s">
        <v>13</v>
      </c>
      <c r="C75" s="81" t="s">
        <v>0</v>
      </c>
      <c r="D75" s="79" t="s">
        <v>2</v>
      </c>
      <c r="E75" s="83" t="s">
        <v>17</v>
      </c>
      <c r="F75" s="85" t="s">
        <v>6</v>
      </c>
      <c r="G75" s="86"/>
      <c r="H75" s="86" t="s">
        <v>18</v>
      </c>
      <c r="I75" s="86"/>
      <c r="J75" s="86" t="s">
        <v>19</v>
      </c>
      <c r="K75" s="87"/>
      <c r="L75" s="86" t="s">
        <v>20</v>
      </c>
      <c r="M75" s="86"/>
      <c r="N75" s="86" t="s">
        <v>21</v>
      </c>
      <c r="O75" s="87"/>
      <c r="P75" s="88" t="s">
        <v>26</v>
      </c>
      <c r="Q75" s="79"/>
      <c r="R75" s="79"/>
      <c r="S75" s="79"/>
      <c r="T75" s="79"/>
    </row>
    <row r="76" spans="1:20" ht="60" customHeight="1" x14ac:dyDescent="0.25">
      <c r="A76" s="80"/>
      <c r="B76" s="80"/>
      <c r="C76" s="82"/>
      <c r="D76" s="80"/>
      <c r="E76" s="84"/>
      <c r="F76" s="90" t="s">
        <v>31</v>
      </c>
      <c r="G76" s="91"/>
      <c r="H76" s="91" t="s">
        <v>464</v>
      </c>
      <c r="I76" s="91"/>
      <c r="J76" s="91" t="s">
        <v>46</v>
      </c>
      <c r="K76" s="92"/>
      <c r="L76" s="91"/>
      <c r="M76" s="91"/>
      <c r="N76" s="91"/>
      <c r="O76" s="92"/>
      <c r="P76" s="89"/>
      <c r="Q76" s="78"/>
      <c r="R76" s="78"/>
      <c r="S76" s="78"/>
      <c r="T76" s="78"/>
    </row>
    <row r="77" spans="1:20" ht="25.5" x14ac:dyDescent="0.25">
      <c r="A77" s="80"/>
      <c r="B77" s="80"/>
      <c r="C77" s="82"/>
      <c r="D77" s="80"/>
      <c r="E77" s="18" t="s">
        <v>3</v>
      </c>
      <c r="F77" s="19" t="s">
        <v>15</v>
      </c>
      <c r="G77" s="20" t="s">
        <v>16</v>
      </c>
      <c r="H77" s="20" t="s">
        <v>15</v>
      </c>
      <c r="I77" s="20" t="s">
        <v>16</v>
      </c>
      <c r="J77" s="20" t="s">
        <v>15</v>
      </c>
      <c r="K77" s="21" t="s">
        <v>16</v>
      </c>
      <c r="L77" s="20" t="s">
        <v>15</v>
      </c>
      <c r="M77" s="20" t="s">
        <v>16</v>
      </c>
      <c r="N77" s="20" t="s">
        <v>15</v>
      </c>
      <c r="O77" s="21" t="s">
        <v>16</v>
      </c>
      <c r="P77" s="22" t="s">
        <v>24</v>
      </c>
      <c r="Q77" s="22" t="s">
        <v>5</v>
      </c>
      <c r="R77" s="22" t="s">
        <v>8</v>
      </c>
      <c r="S77" s="22" t="s">
        <v>9</v>
      </c>
      <c r="T77" s="20" t="s">
        <v>14</v>
      </c>
    </row>
    <row r="78" spans="1:20" hidden="1" x14ac:dyDescent="0.25">
      <c r="A78" s="11" t="s">
        <v>59</v>
      </c>
      <c r="B78" s="11" t="s">
        <v>60</v>
      </c>
      <c r="C78" s="14" t="s">
        <v>61</v>
      </c>
      <c r="D78" s="11" t="s">
        <v>62</v>
      </c>
      <c r="E78" s="8" t="s">
        <v>63</v>
      </c>
      <c r="F78" s="9" t="s">
        <v>64</v>
      </c>
      <c r="G78" s="6" t="s">
        <v>65</v>
      </c>
      <c r="H78" s="6" t="s">
        <v>66</v>
      </c>
      <c r="I78" s="6" t="s">
        <v>67</v>
      </c>
      <c r="J78" s="6" t="s">
        <v>68</v>
      </c>
      <c r="K78" s="7" t="s">
        <v>69</v>
      </c>
      <c r="L78" s="6" t="s">
        <v>70</v>
      </c>
      <c r="M78" s="6" t="s">
        <v>71</v>
      </c>
      <c r="N78" s="6" t="s">
        <v>72</v>
      </c>
      <c r="O78" s="7" t="s">
        <v>73</v>
      </c>
      <c r="P78" s="13" t="s">
        <v>74</v>
      </c>
      <c r="Q78" s="5" t="s">
        <v>75</v>
      </c>
      <c r="R78" s="1" t="s">
        <v>76</v>
      </c>
      <c r="S78" s="1" t="s">
        <v>77</v>
      </c>
      <c r="T78" s="12" t="s">
        <v>78</v>
      </c>
    </row>
    <row r="79" spans="1:20" ht="114.75" x14ac:dyDescent="0.25">
      <c r="A79" s="11">
        <v>1</v>
      </c>
      <c r="B79" s="11" t="s">
        <v>95</v>
      </c>
      <c r="C79" s="14" t="s">
        <v>94</v>
      </c>
      <c r="D79" s="11" t="s">
        <v>4</v>
      </c>
      <c r="E79" s="8">
        <v>1</v>
      </c>
      <c r="F79" s="9">
        <v>2105190.2599999998</v>
      </c>
      <c r="G79" s="6">
        <f>F79*$E79</f>
        <v>2105190.2599999998</v>
      </c>
      <c r="H79" s="6">
        <v>2512331.4</v>
      </c>
      <c r="I79" s="6">
        <f>H79*$E79</f>
        <v>2512331.4</v>
      </c>
      <c r="J79" s="6">
        <v>2728994.35</v>
      </c>
      <c r="K79" s="7">
        <f>J79*$E79</f>
        <v>2728994.35</v>
      </c>
      <c r="L79" s="6"/>
      <c r="M79" s="6">
        <f>L79*$E79</f>
        <v>0</v>
      </c>
      <c r="N79" s="6"/>
      <c r="O79" s="7">
        <f>N79*$E79</f>
        <v>0</v>
      </c>
      <c r="P79" s="13">
        <f>MEDIAN(J79,H79,F79,L79,N79)</f>
        <v>2512331.4</v>
      </c>
      <c r="Q79" s="23" t="str">
        <f>_xlfn.XLOOKUP(P79,F79:O79,$F$76:$O$76)</f>
        <v>SVG METALURGICA</v>
      </c>
      <c r="R79" s="1" t="str">
        <f>_xlfn.XLOOKUP(Q79,'RELAÇÃO DE FORNECEDORES'!$A$3:$A$287,'RELAÇÃO DE FORNECEDORES'!$B$3:$B$287)</f>
        <v>09.001.481/0001-24</v>
      </c>
      <c r="S79" s="1" t="str">
        <f>_xlfn.XLOOKUP(Q79,'RELAÇÃO DE FORNECEDORES'!$A$3:$A$287,'RELAÇÃO DE FORNECEDORES'!$E$3:$E$287)</f>
        <v>IRLAN</v>
      </c>
      <c r="T79" s="12">
        <f>_xlfn.XLOOKUP(Q79,'RELAÇÃO DE FORNECEDORES'!$A$3:$A$287,'RELAÇÃO DE FORNECEDORES'!$C$3:$C$287)</f>
        <v>44207</v>
      </c>
    </row>
    <row r="84" spans="1:20" x14ac:dyDescent="0.25">
      <c r="A84" s="96" t="s">
        <v>538</v>
      </c>
      <c r="B84" s="96"/>
      <c r="C84" s="96"/>
      <c r="D84" s="96"/>
      <c r="E84" s="96"/>
      <c r="F84" s="96"/>
      <c r="G84" s="96"/>
      <c r="H84" s="96"/>
      <c r="I84" s="96"/>
      <c r="J84" s="96"/>
      <c r="K84" s="96"/>
      <c r="L84" s="96"/>
      <c r="M84" s="96"/>
      <c r="N84" s="96"/>
      <c r="O84" s="96"/>
      <c r="P84" s="96"/>
      <c r="Q84" s="96"/>
      <c r="R84" s="96"/>
      <c r="S84" s="96"/>
      <c r="T84" s="96"/>
    </row>
    <row r="85" spans="1:20" x14ac:dyDescent="0.25">
      <c r="A85" s="93" t="s">
        <v>27</v>
      </c>
      <c r="B85" s="93"/>
      <c r="C85" s="93"/>
      <c r="D85" s="93"/>
      <c r="E85" s="94"/>
      <c r="F85" s="95" t="s">
        <v>23</v>
      </c>
      <c r="G85" s="93"/>
      <c r="H85" s="93"/>
      <c r="I85" s="93"/>
      <c r="J85" s="93"/>
      <c r="K85" s="93"/>
      <c r="L85" s="93"/>
      <c r="M85" s="93"/>
      <c r="N85" s="93"/>
      <c r="O85" s="94"/>
      <c r="P85" s="78" t="s">
        <v>25</v>
      </c>
      <c r="Q85" s="78"/>
      <c r="R85" s="78"/>
      <c r="S85" s="78"/>
      <c r="T85" s="78"/>
    </row>
    <row r="86" spans="1:20" ht="51.75" customHeight="1" x14ac:dyDescent="0.25">
      <c r="A86" s="79" t="s">
        <v>1</v>
      </c>
      <c r="B86" s="79" t="s">
        <v>13</v>
      </c>
      <c r="C86" s="81" t="s">
        <v>0</v>
      </c>
      <c r="D86" s="79" t="s">
        <v>2</v>
      </c>
      <c r="E86" s="83" t="s">
        <v>17</v>
      </c>
      <c r="F86" s="85" t="s">
        <v>6</v>
      </c>
      <c r="G86" s="86"/>
      <c r="H86" s="86" t="s">
        <v>18</v>
      </c>
      <c r="I86" s="86"/>
      <c r="J86" s="86" t="s">
        <v>19</v>
      </c>
      <c r="K86" s="87"/>
      <c r="L86" s="86" t="s">
        <v>20</v>
      </c>
      <c r="M86" s="86"/>
      <c r="N86" s="86" t="s">
        <v>21</v>
      </c>
      <c r="O86" s="87"/>
      <c r="P86" s="88" t="s">
        <v>26</v>
      </c>
      <c r="Q86" s="79"/>
      <c r="R86" s="79"/>
      <c r="S86" s="79"/>
      <c r="T86" s="79"/>
    </row>
    <row r="87" spans="1:20" ht="51.75" customHeight="1" x14ac:dyDescent="0.25">
      <c r="A87" s="80"/>
      <c r="B87" s="80"/>
      <c r="C87" s="82"/>
      <c r="D87" s="80"/>
      <c r="E87" s="84"/>
      <c r="F87" s="90" t="s">
        <v>43</v>
      </c>
      <c r="G87" s="91"/>
      <c r="H87" s="91" t="s">
        <v>237</v>
      </c>
      <c r="I87" s="91"/>
      <c r="J87" s="91" t="s">
        <v>202</v>
      </c>
      <c r="K87" s="92"/>
      <c r="L87" s="91"/>
      <c r="M87" s="91"/>
      <c r="N87" s="91"/>
      <c r="O87" s="92"/>
      <c r="P87" s="89"/>
      <c r="Q87" s="78"/>
      <c r="R87" s="78"/>
      <c r="S87" s="78"/>
      <c r="T87" s="78"/>
    </row>
    <row r="88" spans="1:20" ht="25.5" x14ac:dyDescent="0.25">
      <c r="A88" s="80"/>
      <c r="B88" s="80"/>
      <c r="C88" s="82"/>
      <c r="D88" s="80"/>
      <c r="E88" s="18" t="s">
        <v>3</v>
      </c>
      <c r="F88" s="19" t="s">
        <v>15</v>
      </c>
      <c r="G88" s="75" t="s">
        <v>16</v>
      </c>
      <c r="H88" s="75" t="s">
        <v>15</v>
      </c>
      <c r="I88" s="75" t="s">
        <v>16</v>
      </c>
      <c r="J88" s="75" t="s">
        <v>15</v>
      </c>
      <c r="K88" s="21" t="s">
        <v>16</v>
      </c>
      <c r="L88" s="75" t="s">
        <v>15</v>
      </c>
      <c r="M88" s="75" t="s">
        <v>16</v>
      </c>
      <c r="N88" s="75" t="s">
        <v>15</v>
      </c>
      <c r="O88" s="21" t="s">
        <v>16</v>
      </c>
      <c r="P88" s="74" t="s">
        <v>24</v>
      </c>
      <c r="Q88" s="74" t="s">
        <v>5</v>
      </c>
      <c r="R88" s="74" t="s">
        <v>8</v>
      </c>
      <c r="S88" s="74" t="s">
        <v>9</v>
      </c>
      <c r="T88" s="75" t="s">
        <v>14</v>
      </c>
    </row>
    <row r="89" spans="1:20" hidden="1" x14ac:dyDescent="0.25">
      <c r="A89" s="11" t="s">
        <v>59</v>
      </c>
      <c r="B89" s="11" t="s">
        <v>60</v>
      </c>
      <c r="C89" s="14" t="s">
        <v>61</v>
      </c>
      <c r="D89" s="11" t="s">
        <v>62</v>
      </c>
      <c r="E89" s="8" t="s">
        <v>63</v>
      </c>
      <c r="F89" s="9" t="s">
        <v>64</v>
      </c>
      <c r="G89" s="6" t="s">
        <v>65</v>
      </c>
      <c r="H89" s="6" t="s">
        <v>66</v>
      </c>
      <c r="I89" s="6" t="s">
        <v>67</v>
      </c>
      <c r="J89" s="6" t="s">
        <v>68</v>
      </c>
      <c r="K89" s="7" t="s">
        <v>69</v>
      </c>
      <c r="L89" s="6" t="s">
        <v>70</v>
      </c>
      <c r="M89" s="6" t="s">
        <v>71</v>
      </c>
      <c r="N89" s="6" t="s">
        <v>72</v>
      </c>
      <c r="O89" s="7" t="s">
        <v>73</v>
      </c>
      <c r="P89" s="13" t="s">
        <v>74</v>
      </c>
      <c r="Q89" s="5" t="s">
        <v>75</v>
      </c>
      <c r="R89" s="1" t="s">
        <v>76</v>
      </c>
      <c r="S89" s="1" t="s">
        <v>77</v>
      </c>
      <c r="T89" s="12" t="s">
        <v>78</v>
      </c>
    </row>
    <row r="90" spans="1:20" x14ac:dyDescent="0.25">
      <c r="A90" s="11">
        <v>1</v>
      </c>
      <c r="B90" s="11" t="s">
        <v>537</v>
      </c>
      <c r="C90" s="14" t="s">
        <v>536</v>
      </c>
      <c r="D90" s="11" t="s">
        <v>45</v>
      </c>
      <c r="E90" s="8">
        <v>2748</v>
      </c>
      <c r="F90" s="9">
        <f t="shared" ref="F90" si="43">4200/6</f>
        <v>700</v>
      </c>
      <c r="G90" s="6">
        <f t="shared" ref="G90" si="44">F90*$E90</f>
        <v>1923600</v>
      </c>
      <c r="H90" s="6">
        <f t="shared" ref="H90" si="45">7393/6</f>
        <v>1232.1666666666667</v>
      </c>
      <c r="I90" s="6">
        <f t="shared" ref="I90" si="46">H90*$E90</f>
        <v>3385994</v>
      </c>
      <c r="J90" s="6">
        <f t="shared" ref="J90" si="47">4637.52/6</f>
        <v>772.92000000000007</v>
      </c>
      <c r="K90" s="7">
        <f t="shared" ref="K90" si="48">J90*$E90</f>
        <v>2123984.16</v>
      </c>
      <c r="L90" s="6"/>
      <c r="M90" s="6">
        <f t="shared" ref="M90" si="49">L90*$E90</f>
        <v>0</v>
      </c>
      <c r="N90" s="6"/>
      <c r="O90" s="7">
        <f t="shared" ref="O90" si="50">N90*$E90</f>
        <v>0</v>
      </c>
      <c r="P90" s="13">
        <f t="shared" ref="P90" si="51">MEDIAN(J90,H90,F90,L90,N90)</f>
        <v>772.92000000000007</v>
      </c>
      <c r="Q90" s="5" t="str">
        <f t="shared" ref="Q90" si="52">_xlfn.XLOOKUP(P90,F90:O90,$F$87:$O$87)</f>
        <v>ANGOLINI &amp; ANGOLINI LTDA</v>
      </c>
      <c r="R90" s="1" t="str">
        <f>_xlfn.XLOOKUP(Q90,'RELAÇÃO DE FORNECEDORES'!$A$3:$A$287,'RELAÇÃO DE FORNECEDORES'!$B$3:$B$287)</f>
        <v>44.829.653/0001-53</v>
      </c>
      <c r="S90" s="1" t="str">
        <f>_xlfn.XLOOKUP(Q90,'RELAÇÃO DE FORNECEDORES'!$A$3:$A$287,'RELAÇÃO DE FORNECEDORES'!$E$3:$E$287)</f>
        <v>ANTÔNIO CANDIDO</v>
      </c>
      <c r="T90" s="12">
        <f>_xlfn.XLOOKUP(Q90,'RELAÇÃO DE FORNECEDORES'!$A$3:$A$287,'RELAÇÃO DE FORNECEDORES'!$C$3:$C$287)</f>
        <v>44547</v>
      </c>
    </row>
    <row r="95" spans="1:20" x14ac:dyDescent="0.25">
      <c r="A95" s="96" t="s">
        <v>539</v>
      </c>
      <c r="B95" s="96"/>
      <c r="C95" s="96"/>
      <c r="D95" s="96"/>
      <c r="E95" s="96"/>
      <c r="F95" s="96"/>
      <c r="G95" s="96"/>
      <c r="H95" s="96"/>
      <c r="I95" s="96"/>
      <c r="J95" s="96"/>
      <c r="K95" s="96"/>
      <c r="L95" s="96"/>
      <c r="M95" s="96"/>
      <c r="N95" s="96"/>
      <c r="O95" s="96"/>
      <c r="P95" s="96"/>
      <c r="Q95" s="96"/>
      <c r="R95" s="96"/>
      <c r="S95" s="96"/>
      <c r="T95" s="96"/>
    </row>
    <row r="96" spans="1:20" x14ac:dyDescent="0.25">
      <c r="A96" s="93" t="s">
        <v>27</v>
      </c>
      <c r="B96" s="93"/>
      <c r="C96" s="93"/>
      <c r="D96" s="93"/>
      <c r="E96" s="94"/>
      <c r="F96" s="95" t="s">
        <v>23</v>
      </c>
      <c r="G96" s="93"/>
      <c r="H96" s="93"/>
      <c r="I96" s="93"/>
      <c r="J96" s="93"/>
      <c r="K96" s="93"/>
      <c r="L96" s="93"/>
      <c r="M96" s="93"/>
      <c r="N96" s="93"/>
      <c r="O96" s="94"/>
      <c r="P96" s="78" t="s">
        <v>25</v>
      </c>
      <c r="Q96" s="78"/>
      <c r="R96" s="78"/>
      <c r="S96" s="78"/>
      <c r="T96" s="78"/>
    </row>
    <row r="97" spans="1:20" ht="37.5" customHeight="1" x14ac:dyDescent="0.25">
      <c r="A97" s="79" t="s">
        <v>1</v>
      </c>
      <c r="B97" s="79" t="s">
        <v>13</v>
      </c>
      <c r="C97" s="81" t="s">
        <v>0</v>
      </c>
      <c r="D97" s="79" t="s">
        <v>2</v>
      </c>
      <c r="E97" s="83" t="s">
        <v>17</v>
      </c>
      <c r="F97" s="85" t="s">
        <v>6</v>
      </c>
      <c r="G97" s="86"/>
      <c r="H97" s="86" t="s">
        <v>18</v>
      </c>
      <c r="I97" s="86"/>
      <c r="J97" s="86" t="s">
        <v>19</v>
      </c>
      <c r="K97" s="87"/>
      <c r="L97" s="86" t="s">
        <v>20</v>
      </c>
      <c r="M97" s="86"/>
      <c r="N97" s="86" t="s">
        <v>21</v>
      </c>
      <c r="O97" s="87"/>
      <c r="P97" s="88" t="s">
        <v>26</v>
      </c>
      <c r="Q97" s="79"/>
      <c r="R97" s="79"/>
      <c r="S97" s="79"/>
      <c r="T97" s="79"/>
    </row>
    <row r="98" spans="1:20" ht="37.5" customHeight="1" x14ac:dyDescent="0.25">
      <c r="A98" s="80"/>
      <c r="B98" s="80"/>
      <c r="C98" s="82"/>
      <c r="D98" s="80"/>
      <c r="E98" s="84"/>
      <c r="F98" s="90" t="s">
        <v>210</v>
      </c>
      <c r="G98" s="91"/>
      <c r="H98" s="91" t="s">
        <v>202</v>
      </c>
      <c r="I98" s="91"/>
      <c r="J98" s="91" t="s">
        <v>206</v>
      </c>
      <c r="K98" s="92"/>
      <c r="L98" s="91"/>
      <c r="M98" s="91"/>
      <c r="N98" s="91"/>
      <c r="O98" s="92"/>
      <c r="P98" s="89"/>
      <c r="Q98" s="78"/>
      <c r="R98" s="78"/>
      <c r="S98" s="78"/>
      <c r="T98" s="78"/>
    </row>
    <row r="99" spans="1:20" ht="25.5" x14ac:dyDescent="0.25">
      <c r="A99" s="80"/>
      <c r="B99" s="80"/>
      <c r="C99" s="82"/>
      <c r="D99" s="80"/>
      <c r="E99" s="18" t="s">
        <v>3</v>
      </c>
      <c r="F99" s="19" t="s">
        <v>15</v>
      </c>
      <c r="G99" s="75" t="s">
        <v>16</v>
      </c>
      <c r="H99" s="75" t="s">
        <v>15</v>
      </c>
      <c r="I99" s="75" t="s">
        <v>16</v>
      </c>
      <c r="J99" s="75" t="s">
        <v>15</v>
      </c>
      <c r="K99" s="21" t="s">
        <v>16</v>
      </c>
      <c r="L99" s="75" t="s">
        <v>15</v>
      </c>
      <c r="M99" s="75" t="s">
        <v>16</v>
      </c>
      <c r="N99" s="75" t="s">
        <v>15</v>
      </c>
      <c r="O99" s="21" t="s">
        <v>16</v>
      </c>
      <c r="P99" s="74" t="s">
        <v>24</v>
      </c>
      <c r="Q99" s="74" t="s">
        <v>5</v>
      </c>
      <c r="R99" s="74" t="s">
        <v>8</v>
      </c>
      <c r="S99" s="74" t="s">
        <v>9</v>
      </c>
      <c r="T99" s="75" t="s">
        <v>14</v>
      </c>
    </row>
    <row r="100" spans="1:20" hidden="1" x14ac:dyDescent="0.25">
      <c r="A100" s="11" t="s">
        <v>59</v>
      </c>
      <c r="B100" s="11" t="s">
        <v>60</v>
      </c>
      <c r="C100" s="14" t="s">
        <v>61</v>
      </c>
      <c r="D100" s="11" t="s">
        <v>62</v>
      </c>
      <c r="E100" s="8" t="s">
        <v>63</v>
      </c>
      <c r="F100" s="9" t="s">
        <v>64</v>
      </c>
      <c r="G100" s="6" t="s">
        <v>65</v>
      </c>
      <c r="H100" s="6" t="s">
        <v>66</v>
      </c>
      <c r="I100" s="6" t="s">
        <v>67</v>
      </c>
      <c r="J100" s="6" t="s">
        <v>68</v>
      </c>
      <c r="K100" s="7" t="s">
        <v>69</v>
      </c>
      <c r="L100" s="6" t="s">
        <v>70</v>
      </c>
      <c r="M100" s="6" t="s">
        <v>71</v>
      </c>
      <c r="N100" s="6" t="s">
        <v>72</v>
      </c>
      <c r="O100" s="7" t="s">
        <v>73</v>
      </c>
      <c r="P100" s="13" t="s">
        <v>74</v>
      </c>
      <c r="Q100" s="5" t="s">
        <v>75</v>
      </c>
      <c r="R100" s="1" t="s">
        <v>76</v>
      </c>
      <c r="S100" s="1" t="s">
        <v>77</v>
      </c>
      <c r="T100" s="12" t="s">
        <v>78</v>
      </c>
    </row>
    <row r="101" spans="1:20" x14ac:dyDescent="0.25">
      <c r="A101" s="11">
        <v>1</v>
      </c>
      <c r="B101" s="11" t="s">
        <v>543</v>
      </c>
      <c r="C101" s="14" t="s">
        <v>255</v>
      </c>
      <c r="D101" s="11" t="s">
        <v>4</v>
      </c>
      <c r="E101" s="8">
        <v>8</v>
      </c>
      <c r="F101" s="9">
        <v>3045</v>
      </c>
      <c r="G101" s="6">
        <f t="shared" ref="G101:G104" si="53">F101*$E101</f>
        <v>24360</v>
      </c>
      <c r="H101" s="6">
        <v>3832.06</v>
      </c>
      <c r="I101" s="6">
        <f t="shared" ref="I101:I104" si="54">H101*$E101</f>
        <v>30656.48</v>
      </c>
      <c r="J101" s="6">
        <v>7350</v>
      </c>
      <c r="K101" s="7">
        <f t="shared" ref="K101:K104" si="55">J101*$E101</f>
        <v>58800</v>
      </c>
      <c r="L101" s="6"/>
      <c r="M101" s="6">
        <f t="shared" ref="M101:M104" si="56">L101*$E101</f>
        <v>0</v>
      </c>
      <c r="N101" s="6"/>
      <c r="O101" s="7">
        <f t="shared" ref="O101:O104" si="57">N101*$E101</f>
        <v>0</v>
      </c>
      <c r="P101" s="13">
        <f t="shared" ref="P101:P104" si="58">MEDIAN(J101,H101,F101,L101,N101)</f>
        <v>3832.06</v>
      </c>
      <c r="Q101" s="5" t="str">
        <f t="shared" ref="Q101" si="59">_xlfn.XLOOKUP(P101,F101:O101,$F$98:$O$98)</f>
        <v>ANGOLINI &amp; ANGOLINI LTDA</v>
      </c>
      <c r="R101" s="1" t="str">
        <f>_xlfn.XLOOKUP(Q101,'RELAÇÃO DE FORNECEDORES'!$A$3:$A$287,'RELAÇÃO DE FORNECEDORES'!$B$3:$B$287)</f>
        <v>44.829.653/0001-53</v>
      </c>
      <c r="S101" s="1" t="str">
        <f>_xlfn.XLOOKUP(Q101,'RELAÇÃO DE FORNECEDORES'!$A$3:$A$287,'RELAÇÃO DE FORNECEDORES'!$E$3:$E$287)</f>
        <v>ANTÔNIO CANDIDO</v>
      </c>
      <c r="T101" s="12">
        <f>_xlfn.XLOOKUP(Q101,'RELAÇÃO DE FORNECEDORES'!$A$3:$A$287,'RELAÇÃO DE FORNECEDORES'!$C$3:$C$287)</f>
        <v>44547</v>
      </c>
    </row>
    <row r="102" spans="1:20" x14ac:dyDescent="0.25">
      <c r="A102" s="11">
        <v>2</v>
      </c>
      <c r="B102" s="11" t="s">
        <v>544</v>
      </c>
      <c r="C102" s="14" t="s">
        <v>540</v>
      </c>
      <c r="D102" s="11" t="s">
        <v>4</v>
      </c>
      <c r="E102" s="8">
        <v>4</v>
      </c>
      <c r="F102" s="9">
        <v>2275</v>
      </c>
      <c r="G102" s="6">
        <f t="shared" si="53"/>
        <v>9100</v>
      </c>
      <c r="H102" s="6">
        <v>2872.82</v>
      </c>
      <c r="I102" s="6">
        <f t="shared" si="54"/>
        <v>11491.28</v>
      </c>
      <c r="J102" s="6">
        <v>2840</v>
      </c>
      <c r="K102" s="7">
        <f t="shared" si="55"/>
        <v>11360</v>
      </c>
      <c r="L102" s="6"/>
      <c r="M102" s="6">
        <f t="shared" si="56"/>
        <v>0</v>
      </c>
      <c r="N102" s="6"/>
      <c r="O102" s="7">
        <f t="shared" si="57"/>
        <v>0</v>
      </c>
      <c r="P102" s="13">
        <f t="shared" si="58"/>
        <v>2840</v>
      </c>
      <c r="Q102" s="5" t="str">
        <f>_xlfn.XLOOKUP(P102,F102:O102,$F$98:$O$98)</f>
        <v>V E GOMES ARAUJO EIRELI (MT SANEAMENTO)</v>
      </c>
      <c r="R102" s="1" t="str">
        <f>_xlfn.XLOOKUP(Q102,'RELAÇÃO DE FORNECEDORES'!$A$3:$A$287,'RELAÇÃO DE FORNECEDORES'!$B$3:$B$287)</f>
        <v>20.775.930/0001-24</v>
      </c>
      <c r="S102" s="1" t="str">
        <f>_xlfn.XLOOKUP(Q102,'RELAÇÃO DE FORNECEDORES'!$A$3:$A$287,'RELAÇÃO DE FORNECEDORES'!$E$3:$E$287)</f>
        <v>VICTOR ARAUJO</v>
      </c>
      <c r="T102" s="12">
        <f>_xlfn.XLOOKUP(Q102,'RELAÇÃO DE FORNECEDORES'!$A$3:$A$287,'RELAÇÃO DE FORNECEDORES'!$C$3:$C$287)</f>
        <v>44547</v>
      </c>
    </row>
    <row r="103" spans="1:20" ht="25.5" x14ac:dyDescent="0.25">
      <c r="A103" s="11">
        <v>3</v>
      </c>
      <c r="B103" s="11" t="s">
        <v>545</v>
      </c>
      <c r="C103" s="14" t="s">
        <v>541</v>
      </c>
      <c r="D103" s="11" t="s">
        <v>4</v>
      </c>
      <c r="E103" s="8">
        <v>2</v>
      </c>
      <c r="F103" s="9">
        <v>1575</v>
      </c>
      <c r="G103" s="6">
        <f t="shared" si="53"/>
        <v>3150</v>
      </c>
      <c r="H103" s="6">
        <v>2064.92</v>
      </c>
      <c r="I103" s="6">
        <f t="shared" si="54"/>
        <v>4129.84</v>
      </c>
      <c r="J103" s="6">
        <v>2600</v>
      </c>
      <c r="K103" s="7">
        <f t="shared" si="55"/>
        <v>5200</v>
      </c>
      <c r="L103" s="6"/>
      <c r="M103" s="6">
        <f t="shared" si="56"/>
        <v>0</v>
      </c>
      <c r="N103" s="6"/>
      <c r="O103" s="7">
        <f t="shared" si="57"/>
        <v>0</v>
      </c>
      <c r="P103" s="13">
        <f t="shared" si="58"/>
        <v>2064.92</v>
      </c>
      <c r="Q103" s="5" t="str">
        <f>_xlfn.XLOOKUP(P103,F103:O103,$F$98:$O$98)</f>
        <v>ANGOLINI &amp; ANGOLINI LTDA</v>
      </c>
      <c r="R103" s="1" t="str">
        <f>_xlfn.XLOOKUP(Q103,'RELAÇÃO DE FORNECEDORES'!$A$3:$A$287,'RELAÇÃO DE FORNECEDORES'!$B$3:$B$287)</f>
        <v>44.829.653/0001-53</v>
      </c>
      <c r="S103" s="1" t="str">
        <f>_xlfn.XLOOKUP(Q103,'RELAÇÃO DE FORNECEDORES'!$A$3:$A$287,'RELAÇÃO DE FORNECEDORES'!$E$3:$E$287)</f>
        <v>ANTÔNIO CANDIDO</v>
      </c>
      <c r="T103" s="12">
        <f>_xlfn.XLOOKUP(Q103,'RELAÇÃO DE FORNECEDORES'!$A$3:$A$287,'RELAÇÃO DE FORNECEDORES'!$C$3:$C$287)</f>
        <v>44547</v>
      </c>
    </row>
    <row r="104" spans="1:20" x14ac:dyDescent="0.25">
      <c r="A104" s="11">
        <v>4</v>
      </c>
      <c r="B104" s="11" t="s">
        <v>546</v>
      </c>
      <c r="C104" s="14" t="s">
        <v>542</v>
      </c>
      <c r="D104" s="11" t="s">
        <v>4</v>
      </c>
      <c r="E104" s="8">
        <v>1</v>
      </c>
      <c r="F104" s="9">
        <v>1470</v>
      </c>
      <c r="G104" s="6">
        <f t="shared" si="53"/>
        <v>1470</v>
      </c>
      <c r="H104" s="6">
        <v>1940.44</v>
      </c>
      <c r="I104" s="6">
        <f t="shared" si="54"/>
        <v>1940.44</v>
      </c>
      <c r="J104" s="6">
        <v>2100</v>
      </c>
      <c r="K104" s="7">
        <f t="shared" si="55"/>
        <v>2100</v>
      </c>
      <c r="L104" s="6"/>
      <c r="M104" s="6">
        <f t="shared" si="56"/>
        <v>0</v>
      </c>
      <c r="N104" s="6"/>
      <c r="O104" s="7">
        <f t="shared" si="57"/>
        <v>0</v>
      </c>
      <c r="P104" s="13">
        <f t="shared" si="58"/>
        <v>1940.44</v>
      </c>
      <c r="Q104" s="5" t="str">
        <f>_xlfn.XLOOKUP(P104,F104:O104,$F$98:$O$98)</f>
        <v>ANGOLINI &amp; ANGOLINI LTDA</v>
      </c>
      <c r="R104" s="1" t="str">
        <f>_xlfn.XLOOKUP(Q104,'RELAÇÃO DE FORNECEDORES'!$A$3:$A$287,'RELAÇÃO DE FORNECEDORES'!$B$3:$B$287)</f>
        <v>44.829.653/0001-53</v>
      </c>
      <c r="S104" s="1" t="str">
        <f>_xlfn.XLOOKUP(Q104,'RELAÇÃO DE FORNECEDORES'!$A$3:$A$287,'RELAÇÃO DE FORNECEDORES'!$E$3:$E$287)</f>
        <v>ANTÔNIO CANDIDO</v>
      </c>
      <c r="T104" s="12">
        <f>_xlfn.XLOOKUP(Q104,'RELAÇÃO DE FORNECEDORES'!$A$3:$A$287,'RELAÇÃO DE FORNECEDORES'!$C$3:$C$287)</f>
        <v>44547</v>
      </c>
    </row>
    <row r="108" spans="1:20" x14ac:dyDescent="0.25">
      <c r="A108" s="96" t="s">
        <v>547</v>
      </c>
      <c r="B108" s="96"/>
      <c r="C108" s="96"/>
      <c r="D108" s="96"/>
      <c r="E108" s="96"/>
      <c r="F108" s="96"/>
      <c r="G108" s="96"/>
      <c r="H108" s="96"/>
      <c r="I108" s="96"/>
      <c r="J108" s="96"/>
      <c r="K108" s="96"/>
      <c r="L108" s="96"/>
      <c r="M108" s="96"/>
      <c r="N108" s="96"/>
      <c r="O108" s="96"/>
      <c r="P108" s="96"/>
      <c r="Q108" s="96"/>
      <c r="R108" s="96"/>
      <c r="S108" s="96"/>
      <c r="T108" s="96"/>
    </row>
    <row r="109" spans="1:20" x14ac:dyDescent="0.25">
      <c r="A109" s="93" t="s">
        <v>27</v>
      </c>
      <c r="B109" s="93"/>
      <c r="C109" s="93"/>
      <c r="D109" s="93"/>
      <c r="E109" s="94"/>
      <c r="F109" s="95" t="s">
        <v>23</v>
      </c>
      <c r="G109" s="93"/>
      <c r="H109" s="93"/>
      <c r="I109" s="93"/>
      <c r="J109" s="93"/>
      <c r="K109" s="93"/>
      <c r="L109" s="93"/>
      <c r="M109" s="93"/>
      <c r="N109" s="93"/>
      <c r="O109" s="94"/>
      <c r="P109" s="78" t="s">
        <v>25</v>
      </c>
      <c r="Q109" s="78"/>
      <c r="R109" s="78"/>
      <c r="S109" s="78"/>
      <c r="T109" s="78"/>
    </row>
    <row r="110" spans="1:20" ht="45" customHeight="1" x14ac:dyDescent="0.25">
      <c r="A110" s="79" t="s">
        <v>1</v>
      </c>
      <c r="B110" s="79" t="s">
        <v>13</v>
      </c>
      <c r="C110" s="81" t="s">
        <v>0</v>
      </c>
      <c r="D110" s="79" t="s">
        <v>2</v>
      </c>
      <c r="E110" s="83" t="s">
        <v>17</v>
      </c>
      <c r="F110" s="85" t="s">
        <v>6</v>
      </c>
      <c r="G110" s="86"/>
      <c r="H110" s="86" t="s">
        <v>18</v>
      </c>
      <c r="I110" s="86"/>
      <c r="J110" s="86" t="s">
        <v>19</v>
      </c>
      <c r="K110" s="87"/>
      <c r="L110" s="86" t="s">
        <v>20</v>
      </c>
      <c r="M110" s="86"/>
      <c r="N110" s="86" t="s">
        <v>21</v>
      </c>
      <c r="O110" s="87"/>
      <c r="P110" s="88" t="s">
        <v>26</v>
      </c>
      <c r="Q110" s="79"/>
      <c r="R110" s="79"/>
      <c r="S110" s="79"/>
      <c r="T110" s="79"/>
    </row>
    <row r="111" spans="1:20" ht="45" customHeight="1" x14ac:dyDescent="0.25">
      <c r="A111" s="80"/>
      <c r="B111" s="80"/>
      <c r="C111" s="82"/>
      <c r="D111" s="80"/>
      <c r="E111" s="84"/>
      <c r="F111" s="90" t="s">
        <v>210</v>
      </c>
      <c r="G111" s="91"/>
      <c r="H111" s="91" t="s">
        <v>548</v>
      </c>
      <c r="I111" s="91"/>
      <c r="J111" s="91" t="s">
        <v>10</v>
      </c>
      <c r="K111" s="92"/>
      <c r="L111" s="91"/>
      <c r="M111" s="91"/>
      <c r="N111" s="91"/>
      <c r="O111" s="92"/>
      <c r="P111" s="89"/>
      <c r="Q111" s="78"/>
      <c r="R111" s="78"/>
      <c r="S111" s="78"/>
      <c r="T111" s="78"/>
    </row>
    <row r="112" spans="1:20" ht="25.5" x14ac:dyDescent="0.25">
      <c r="A112" s="80"/>
      <c r="B112" s="80"/>
      <c r="C112" s="82"/>
      <c r="D112" s="80"/>
      <c r="E112" s="18" t="s">
        <v>3</v>
      </c>
      <c r="F112" s="19" t="s">
        <v>15</v>
      </c>
      <c r="G112" s="75" t="s">
        <v>16</v>
      </c>
      <c r="H112" s="75" t="s">
        <v>15</v>
      </c>
      <c r="I112" s="75" t="s">
        <v>16</v>
      </c>
      <c r="J112" s="75" t="s">
        <v>15</v>
      </c>
      <c r="K112" s="21" t="s">
        <v>16</v>
      </c>
      <c r="L112" s="75" t="s">
        <v>15</v>
      </c>
      <c r="M112" s="75" t="s">
        <v>16</v>
      </c>
      <c r="N112" s="75" t="s">
        <v>15</v>
      </c>
      <c r="O112" s="21" t="s">
        <v>16</v>
      </c>
      <c r="P112" s="74" t="s">
        <v>24</v>
      </c>
      <c r="Q112" s="74" t="s">
        <v>5</v>
      </c>
      <c r="R112" s="74" t="s">
        <v>8</v>
      </c>
      <c r="S112" s="74" t="s">
        <v>9</v>
      </c>
      <c r="T112" s="75" t="s">
        <v>14</v>
      </c>
    </row>
    <row r="113" spans="1:20" hidden="1" x14ac:dyDescent="0.25">
      <c r="A113" s="11" t="s">
        <v>59</v>
      </c>
      <c r="B113" s="11" t="s">
        <v>60</v>
      </c>
      <c r="C113" s="14" t="s">
        <v>61</v>
      </c>
      <c r="D113" s="11" t="s">
        <v>62</v>
      </c>
      <c r="E113" s="8" t="s">
        <v>63</v>
      </c>
      <c r="F113" s="9" t="s">
        <v>64</v>
      </c>
      <c r="G113" s="6" t="s">
        <v>65</v>
      </c>
      <c r="H113" s="6" t="s">
        <v>66</v>
      </c>
      <c r="I113" s="6" t="s">
        <v>67</v>
      </c>
      <c r="J113" s="6" t="s">
        <v>68</v>
      </c>
      <c r="K113" s="7" t="s">
        <v>69</v>
      </c>
      <c r="L113" s="6" t="s">
        <v>70</v>
      </c>
      <c r="M113" s="6" t="s">
        <v>71</v>
      </c>
      <c r="N113" s="6" t="s">
        <v>72</v>
      </c>
      <c r="O113" s="7" t="s">
        <v>73</v>
      </c>
      <c r="P113" s="13" t="s">
        <v>74</v>
      </c>
      <c r="Q113" s="5" t="s">
        <v>75</v>
      </c>
      <c r="R113" s="1" t="s">
        <v>76</v>
      </c>
      <c r="S113" s="1" t="s">
        <v>77</v>
      </c>
      <c r="T113" s="12" t="s">
        <v>78</v>
      </c>
    </row>
    <row r="114" spans="1:20" ht="25.5" x14ac:dyDescent="0.25">
      <c r="A114" s="11">
        <v>1</v>
      </c>
      <c r="B114" s="11" t="s">
        <v>568</v>
      </c>
      <c r="C114" s="14" t="s">
        <v>552</v>
      </c>
      <c r="D114" s="11" t="s">
        <v>4</v>
      </c>
      <c r="E114" s="8">
        <v>1</v>
      </c>
      <c r="F114" s="9">
        <v>2784.48</v>
      </c>
      <c r="G114" s="6">
        <f t="shared" ref="G114:G120" si="60">F114*$E114</f>
        <v>2784.48</v>
      </c>
      <c r="H114" s="6">
        <v>0</v>
      </c>
      <c r="I114" s="6">
        <f t="shared" ref="I114:I120" si="61">H114*$E114</f>
        <v>0</v>
      </c>
      <c r="J114" s="6">
        <v>1937</v>
      </c>
      <c r="K114" s="7">
        <f t="shared" ref="K114:K120" si="62">J114*$E114</f>
        <v>1937</v>
      </c>
      <c r="L114" s="6"/>
      <c r="M114" s="6">
        <f t="shared" ref="M114:M120" si="63">L114*$E114</f>
        <v>0</v>
      </c>
      <c r="N114" s="6"/>
      <c r="O114" s="7">
        <f t="shared" ref="O114:O120" si="64">N114*$E114</f>
        <v>0</v>
      </c>
      <c r="P114" s="13">
        <f t="shared" ref="P114:P120" si="65">MEDIAN(J114,H114,F114,L114,N114)</f>
        <v>1937</v>
      </c>
      <c r="Q114" s="5" t="str">
        <f t="shared" ref="Q114:Q120" si="66">_xlfn.XLOOKUP(P114,F114:O114,$F$111:$O$111)</f>
        <v>AESA COMÉRCIO DE TUBOS E CONEXÕES EIRELI</v>
      </c>
      <c r="R114" s="1" t="str">
        <f>_xlfn.XLOOKUP(Q114,'RELAÇÃO DE FORNECEDORES'!$A$3:$A$287,'RELAÇÃO DE FORNECEDORES'!$B$3:$B$287)</f>
        <v>34.558.680/0001-85</v>
      </c>
      <c r="S114" s="1" t="str">
        <f>_xlfn.XLOOKUP(Q114,'RELAÇÃO DE FORNECEDORES'!$A$3:$A$287,'RELAÇÃO DE FORNECEDORES'!$E$3:$E$287)</f>
        <v>PAULO ALBERTO</v>
      </c>
      <c r="T114" s="12">
        <f>_xlfn.XLOOKUP(Q114,'RELAÇÃO DE FORNECEDORES'!$A$3:$A$287,'RELAÇÃO DE FORNECEDORES'!$C$3:$C$287)</f>
        <v>44330</v>
      </c>
    </row>
    <row r="115" spans="1:20" ht="25.5" x14ac:dyDescent="0.25">
      <c r="A115" s="11">
        <v>2</v>
      </c>
      <c r="B115" s="11" t="s">
        <v>569</v>
      </c>
      <c r="C115" s="14" t="s">
        <v>553</v>
      </c>
      <c r="D115" s="11" t="s">
        <v>4</v>
      </c>
      <c r="E115" s="8">
        <v>1</v>
      </c>
      <c r="F115" s="9">
        <v>422.41</v>
      </c>
      <c r="G115" s="6">
        <f t="shared" si="60"/>
        <v>422.41</v>
      </c>
      <c r="H115" s="6">
        <v>2864</v>
      </c>
      <c r="I115" s="6">
        <f t="shared" si="61"/>
        <v>2864</v>
      </c>
      <c r="J115" s="6">
        <v>410</v>
      </c>
      <c r="K115" s="7">
        <f t="shared" si="62"/>
        <v>410</v>
      </c>
      <c r="L115" s="6"/>
      <c r="M115" s="6">
        <f t="shared" si="63"/>
        <v>0</v>
      </c>
      <c r="N115" s="6"/>
      <c r="O115" s="7">
        <f t="shared" si="64"/>
        <v>0</v>
      </c>
      <c r="P115" s="13">
        <f t="shared" si="65"/>
        <v>422.41</v>
      </c>
      <c r="Q115" s="5" t="str">
        <f t="shared" si="66"/>
        <v>DTS SANEAMENTO VÁLVULAS E CONEXÕES LTDA</v>
      </c>
      <c r="R115" s="1" t="str">
        <f>_xlfn.XLOOKUP(Q115,'RELAÇÃO DE FORNECEDORES'!$A$3:$A$287,'RELAÇÃO DE FORNECEDORES'!$B$3:$B$287)</f>
        <v>30.194.330/0001-26</v>
      </c>
      <c r="S115" s="1" t="str">
        <f>_xlfn.XLOOKUP(Q115,'RELAÇÃO DE FORNECEDORES'!$A$3:$A$287,'RELAÇÃO DE FORNECEDORES'!$E$3:$E$287)</f>
        <v>GILVAN MARTINS</v>
      </c>
      <c r="T115" s="12">
        <f>_xlfn.XLOOKUP(Q115,'RELAÇÃO DE FORNECEDORES'!$A$3:$A$287,'RELAÇÃO DE FORNECEDORES'!$C$3:$C$287)</f>
        <v>44546</v>
      </c>
    </row>
    <row r="116" spans="1:20" ht="25.5" x14ac:dyDescent="0.25">
      <c r="A116" s="11">
        <v>3</v>
      </c>
      <c r="B116" s="11" t="s">
        <v>570</v>
      </c>
      <c r="C116" s="14" t="s">
        <v>554</v>
      </c>
      <c r="D116" s="11" t="s">
        <v>4</v>
      </c>
      <c r="E116" s="8">
        <v>1</v>
      </c>
      <c r="F116" s="9">
        <v>563.79</v>
      </c>
      <c r="G116" s="6">
        <f t="shared" si="60"/>
        <v>563.79</v>
      </c>
      <c r="H116" s="6">
        <v>481.94</v>
      </c>
      <c r="I116" s="6">
        <f t="shared" si="61"/>
        <v>481.94</v>
      </c>
      <c r="J116" s="6">
        <v>526</v>
      </c>
      <c r="K116" s="7">
        <f t="shared" si="62"/>
        <v>526</v>
      </c>
      <c r="L116" s="6"/>
      <c r="M116" s="6">
        <f t="shared" si="63"/>
        <v>0</v>
      </c>
      <c r="N116" s="6"/>
      <c r="O116" s="7">
        <f t="shared" si="64"/>
        <v>0</v>
      </c>
      <c r="P116" s="13">
        <f t="shared" si="65"/>
        <v>526</v>
      </c>
      <c r="Q116" s="5" t="str">
        <f t="shared" si="66"/>
        <v>AESA COMÉRCIO DE TUBOS E CONEXÕES EIRELI</v>
      </c>
      <c r="R116" s="1" t="str">
        <f>_xlfn.XLOOKUP(Q116,'RELAÇÃO DE FORNECEDORES'!$A$3:$A$287,'RELAÇÃO DE FORNECEDORES'!$B$3:$B$287)</f>
        <v>34.558.680/0001-85</v>
      </c>
      <c r="S116" s="1" t="str">
        <f>_xlfn.XLOOKUP(Q116,'RELAÇÃO DE FORNECEDORES'!$A$3:$A$287,'RELAÇÃO DE FORNECEDORES'!$E$3:$E$287)</f>
        <v>PAULO ALBERTO</v>
      </c>
      <c r="T116" s="12">
        <f>_xlfn.XLOOKUP(Q116,'RELAÇÃO DE FORNECEDORES'!$A$3:$A$287,'RELAÇÃO DE FORNECEDORES'!$C$3:$C$287)</f>
        <v>44330</v>
      </c>
    </row>
    <row r="117" spans="1:20" ht="25.5" x14ac:dyDescent="0.25">
      <c r="A117" s="11">
        <v>4</v>
      </c>
      <c r="B117" s="11" t="s">
        <v>571</v>
      </c>
      <c r="C117" s="14" t="s">
        <v>555</v>
      </c>
      <c r="D117" s="11" t="s">
        <v>4</v>
      </c>
      <c r="E117" s="8">
        <v>1</v>
      </c>
      <c r="F117" s="76"/>
      <c r="G117" s="6">
        <f>F117*$E117</f>
        <v>0</v>
      </c>
      <c r="H117" s="42"/>
      <c r="I117" s="6">
        <f>H117*$E117</f>
        <v>0</v>
      </c>
      <c r="J117" s="6">
        <v>931</v>
      </c>
      <c r="K117" s="7">
        <f>J117*$E117</f>
        <v>931</v>
      </c>
      <c r="L117" s="6"/>
      <c r="M117" s="6">
        <f>L117*$E117</f>
        <v>0</v>
      </c>
      <c r="N117" s="6"/>
      <c r="O117" s="7">
        <f>N117*$E117</f>
        <v>0</v>
      </c>
      <c r="P117" s="13">
        <f>MEDIAN(J117,H117,F117,L117,N117)</f>
        <v>931</v>
      </c>
      <c r="Q117" s="26" t="str">
        <f t="shared" si="66"/>
        <v>AESA COMÉRCIO DE TUBOS E CONEXÕES EIRELI</v>
      </c>
      <c r="R117" s="1" t="str">
        <f>_xlfn.XLOOKUP(Q117,'RELAÇÃO DE FORNECEDORES'!$A$3:$A$287,'RELAÇÃO DE FORNECEDORES'!$B$3:$B$287)</f>
        <v>34.558.680/0001-85</v>
      </c>
      <c r="S117" s="1" t="str">
        <f>_xlfn.XLOOKUP(Q117,'RELAÇÃO DE FORNECEDORES'!$A$3:$A$287,'RELAÇÃO DE FORNECEDORES'!$E$3:$E$287)</f>
        <v>PAULO ALBERTO</v>
      </c>
      <c r="T117" s="12">
        <f>_xlfn.XLOOKUP(Q117,'RELAÇÃO DE FORNECEDORES'!$A$3:$A$287,'RELAÇÃO DE FORNECEDORES'!$C$3:$C$287)</f>
        <v>44330</v>
      </c>
    </row>
    <row r="118" spans="1:20" ht="25.5" x14ac:dyDescent="0.25">
      <c r="A118" s="11">
        <v>5</v>
      </c>
      <c r="B118" s="11" t="s">
        <v>572</v>
      </c>
      <c r="C118" s="14" t="s">
        <v>556</v>
      </c>
      <c r="D118" s="11" t="s">
        <v>4</v>
      </c>
      <c r="E118" s="8">
        <v>1</v>
      </c>
      <c r="F118" s="76">
        <v>810.34</v>
      </c>
      <c r="G118" s="6">
        <f>F118*$E118</f>
        <v>810.34</v>
      </c>
      <c r="H118" s="42">
        <v>454.43</v>
      </c>
      <c r="I118" s="6">
        <f>H118*$E118</f>
        <v>454.43</v>
      </c>
      <c r="J118" s="6">
        <v>558</v>
      </c>
      <c r="K118" s="7">
        <f>J118*$E118</f>
        <v>558</v>
      </c>
      <c r="L118" s="6"/>
      <c r="M118" s="6">
        <f>L118*$E118</f>
        <v>0</v>
      </c>
      <c r="N118" s="6"/>
      <c r="O118" s="7">
        <f>N118*$E118</f>
        <v>0</v>
      </c>
      <c r="P118" s="13">
        <f>MEDIAN(J118,H118,F118,L118,N118)</f>
        <v>558</v>
      </c>
      <c r="Q118" s="26" t="str">
        <f t="shared" si="66"/>
        <v>AESA COMÉRCIO DE TUBOS E CONEXÕES EIRELI</v>
      </c>
      <c r="R118" s="1" t="str">
        <f>_xlfn.XLOOKUP(Q118,'RELAÇÃO DE FORNECEDORES'!$A$3:$A$287,'RELAÇÃO DE FORNECEDORES'!$B$3:$B$287)</f>
        <v>34.558.680/0001-85</v>
      </c>
      <c r="S118" s="1" t="str">
        <f>_xlfn.XLOOKUP(Q118,'RELAÇÃO DE FORNECEDORES'!$A$3:$A$287,'RELAÇÃO DE FORNECEDORES'!$E$3:$E$287)</f>
        <v>PAULO ALBERTO</v>
      </c>
      <c r="T118" s="12">
        <f>_xlfn.XLOOKUP(Q118,'RELAÇÃO DE FORNECEDORES'!$A$3:$A$287,'RELAÇÃO DE FORNECEDORES'!$C$3:$C$287)</f>
        <v>44330</v>
      </c>
    </row>
    <row r="119" spans="1:20" ht="25.5" x14ac:dyDescent="0.25">
      <c r="A119" s="11">
        <v>6</v>
      </c>
      <c r="B119" s="11" t="s">
        <v>573</v>
      </c>
      <c r="C119" s="14" t="s">
        <v>557</v>
      </c>
      <c r="D119" s="11" t="s">
        <v>4</v>
      </c>
      <c r="E119" s="8">
        <v>1</v>
      </c>
      <c r="F119" s="76">
        <v>775.86</v>
      </c>
      <c r="G119" s="6">
        <f>F119*$E119</f>
        <v>775.86</v>
      </c>
      <c r="H119" s="42">
        <v>728.15</v>
      </c>
      <c r="I119" s="6">
        <f>H119*$E119</f>
        <v>728.15</v>
      </c>
      <c r="J119" s="6">
        <v>480</v>
      </c>
      <c r="K119" s="7">
        <f>J119*$E119</f>
        <v>480</v>
      </c>
      <c r="L119" s="6"/>
      <c r="M119" s="6">
        <f>L119*$E119</f>
        <v>0</v>
      </c>
      <c r="N119" s="6"/>
      <c r="O119" s="7">
        <f>N119*$E119</f>
        <v>0</v>
      </c>
      <c r="P119" s="13">
        <f>MEDIAN(J119,H119,F119,L119,N119)</f>
        <v>728.15</v>
      </c>
      <c r="Q119" s="26" t="str">
        <f t="shared" si="66"/>
        <v>AAGUA COMERCIO E DISTRIBUICAO DE MATERIAIS HIDRAULICOS EIRELI - EPP</v>
      </c>
      <c r="R119" s="1" t="str">
        <f>_xlfn.XLOOKUP(Q119,'RELAÇÃO DE FORNECEDORES'!$A$3:$A$287,'RELAÇÃO DE FORNECEDORES'!$B$3:$B$287)</f>
        <v>09.237.525/0001-10</v>
      </c>
      <c r="S119" s="1" t="str">
        <f>_xlfn.XLOOKUP(Q119,'RELAÇÃO DE FORNECEDORES'!$A$3:$A$287,'RELAÇÃO DE FORNECEDORES'!$E$3:$E$287)</f>
        <v>FERNANDO</v>
      </c>
      <c r="T119" s="12">
        <f>_xlfn.XLOOKUP(Q119,'RELAÇÃO DE FORNECEDORES'!$A$3:$A$287,'RELAÇÃO DE FORNECEDORES'!$C$3:$C$287)</f>
        <v>44624</v>
      </c>
    </row>
    <row r="120" spans="1:20" ht="25.5" x14ac:dyDescent="0.25">
      <c r="A120" s="11">
        <v>7</v>
      </c>
      <c r="B120" s="11" t="s">
        <v>574</v>
      </c>
      <c r="C120" s="14" t="s">
        <v>558</v>
      </c>
      <c r="D120" s="11" t="s">
        <v>4</v>
      </c>
      <c r="E120" s="8">
        <v>1</v>
      </c>
      <c r="F120" s="9">
        <v>201.72</v>
      </c>
      <c r="G120" s="6">
        <f t="shared" si="60"/>
        <v>201.72</v>
      </c>
      <c r="H120" s="6">
        <v>179.99</v>
      </c>
      <c r="I120" s="6">
        <f t="shared" si="61"/>
        <v>179.99</v>
      </c>
      <c r="J120" s="6">
        <v>182</v>
      </c>
      <c r="K120" s="7">
        <f t="shared" si="62"/>
        <v>182</v>
      </c>
      <c r="L120" s="6"/>
      <c r="M120" s="6">
        <f t="shared" si="63"/>
        <v>0</v>
      </c>
      <c r="N120" s="6"/>
      <c r="O120" s="7">
        <f t="shared" si="64"/>
        <v>0</v>
      </c>
      <c r="P120" s="13">
        <f t="shared" si="65"/>
        <v>182</v>
      </c>
      <c r="Q120" s="5" t="str">
        <f t="shared" si="66"/>
        <v>AESA COMÉRCIO DE TUBOS E CONEXÕES EIRELI</v>
      </c>
      <c r="R120" s="1" t="str">
        <f>_xlfn.XLOOKUP(Q120,'RELAÇÃO DE FORNECEDORES'!$A$3:$A$287,'RELAÇÃO DE FORNECEDORES'!$B$3:$B$287)</f>
        <v>34.558.680/0001-85</v>
      </c>
      <c r="S120" s="1" t="str">
        <f>_xlfn.XLOOKUP(Q120,'RELAÇÃO DE FORNECEDORES'!$A$3:$A$287,'RELAÇÃO DE FORNECEDORES'!$E$3:$E$287)</f>
        <v>PAULO ALBERTO</v>
      </c>
      <c r="T120" s="12">
        <f>_xlfn.XLOOKUP(Q120,'RELAÇÃO DE FORNECEDORES'!$A$3:$A$287,'RELAÇÃO DE FORNECEDORES'!$C$3:$C$287)</f>
        <v>44330</v>
      </c>
    </row>
    <row r="125" spans="1:20" x14ac:dyDescent="0.25">
      <c r="A125" s="96" t="s">
        <v>559</v>
      </c>
      <c r="B125" s="96"/>
      <c r="C125" s="96"/>
      <c r="D125" s="96"/>
      <c r="E125" s="96"/>
      <c r="F125" s="96"/>
      <c r="G125" s="96"/>
      <c r="H125" s="96"/>
      <c r="I125" s="96"/>
      <c r="J125" s="96"/>
      <c r="K125" s="96"/>
      <c r="L125" s="96"/>
      <c r="M125" s="96"/>
      <c r="N125" s="96"/>
      <c r="O125" s="96"/>
      <c r="P125" s="96"/>
      <c r="Q125" s="96"/>
      <c r="R125" s="96"/>
      <c r="S125" s="96"/>
      <c r="T125" s="96"/>
    </row>
    <row r="126" spans="1:20" x14ac:dyDescent="0.25">
      <c r="A126" s="93" t="s">
        <v>27</v>
      </c>
      <c r="B126" s="93"/>
      <c r="C126" s="93"/>
      <c r="D126" s="93"/>
      <c r="E126" s="94"/>
      <c r="F126" s="95" t="s">
        <v>23</v>
      </c>
      <c r="G126" s="93"/>
      <c r="H126" s="93"/>
      <c r="I126" s="93"/>
      <c r="J126" s="93"/>
      <c r="K126" s="93"/>
      <c r="L126" s="93"/>
      <c r="M126" s="93"/>
      <c r="N126" s="93"/>
      <c r="O126" s="94"/>
      <c r="P126" s="78" t="s">
        <v>25</v>
      </c>
      <c r="Q126" s="78"/>
      <c r="R126" s="78"/>
      <c r="S126" s="78"/>
      <c r="T126" s="78"/>
    </row>
    <row r="127" spans="1:20" ht="48.75" customHeight="1" x14ac:dyDescent="0.25">
      <c r="A127" s="79" t="s">
        <v>1</v>
      </c>
      <c r="B127" s="79" t="s">
        <v>13</v>
      </c>
      <c r="C127" s="81" t="s">
        <v>0</v>
      </c>
      <c r="D127" s="79" t="s">
        <v>2</v>
      </c>
      <c r="E127" s="83" t="s">
        <v>17</v>
      </c>
      <c r="F127" s="85" t="s">
        <v>6</v>
      </c>
      <c r="G127" s="86"/>
      <c r="H127" s="86" t="s">
        <v>18</v>
      </c>
      <c r="I127" s="86"/>
      <c r="J127" s="86" t="s">
        <v>19</v>
      </c>
      <c r="K127" s="87"/>
      <c r="L127" s="86" t="s">
        <v>20</v>
      </c>
      <c r="M127" s="86"/>
      <c r="N127" s="86" t="s">
        <v>21</v>
      </c>
      <c r="O127" s="87"/>
      <c r="P127" s="88" t="s">
        <v>26</v>
      </c>
      <c r="Q127" s="79"/>
      <c r="R127" s="79"/>
      <c r="S127" s="79"/>
      <c r="T127" s="79"/>
    </row>
    <row r="128" spans="1:20" ht="48.75" customHeight="1" x14ac:dyDescent="0.25">
      <c r="A128" s="80"/>
      <c r="B128" s="80"/>
      <c r="C128" s="82"/>
      <c r="D128" s="80"/>
      <c r="E128" s="84"/>
      <c r="F128" s="90" t="s">
        <v>210</v>
      </c>
      <c r="G128" s="91"/>
      <c r="H128" s="91" t="s">
        <v>548</v>
      </c>
      <c r="I128" s="91"/>
      <c r="J128" s="91" t="s">
        <v>10</v>
      </c>
      <c r="K128" s="92"/>
      <c r="L128" s="91"/>
      <c r="M128" s="91"/>
      <c r="N128" s="91"/>
      <c r="O128" s="92"/>
      <c r="P128" s="89"/>
      <c r="Q128" s="78"/>
      <c r="R128" s="78"/>
      <c r="S128" s="78"/>
      <c r="T128" s="78"/>
    </row>
    <row r="129" spans="1:20" ht="25.5" x14ac:dyDescent="0.25">
      <c r="A129" s="80"/>
      <c r="B129" s="80"/>
      <c r="C129" s="82"/>
      <c r="D129" s="80"/>
      <c r="E129" s="18" t="s">
        <v>3</v>
      </c>
      <c r="F129" s="19" t="s">
        <v>15</v>
      </c>
      <c r="G129" s="75" t="s">
        <v>16</v>
      </c>
      <c r="H129" s="75" t="s">
        <v>15</v>
      </c>
      <c r="I129" s="75" t="s">
        <v>16</v>
      </c>
      <c r="J129" s="75" t="s">
        <v>15</v>
      </c>
      <c r="K129" s="21" t="s">
        <v>16</v>
      </c>
      <c r="L129" s="75" t="s">
        <v>15</v>
      </c>
      <c r="M129" s="75" t="s">
        <v>16</v>
      </c>
      <c r="N129" s="75" t="s">
        <v>15</v>
      </c>
      <c r="O129" s="21" t="s">
        <v>16</v>
      </c>
      <c r="P129" s="74" t="s">
        <v>24</v>
      </c>
      <c r="Q129" s="74" t="s">
        <v>5</v>
      </c>
      <c r="R129" s="74" t="s">
        <v>8</v>
      </c>
      <c r="S129" s="74" t="s">
        <v>9</v>
      </c>
      <c r="T129" s="75" t="s">
        <v>14</v>
      </c>
    </row>
    <row r="130" spans="1:20" hidden="1" x14ac:dyDescent="0.25">
      <c r="A130" s="11" t="s">
        <v>59</v>
      </c>
      <c r="B130" s="11" t="s">
        <v>60</v>
      </c>
      <c r="C130" s="14" t="s">
        <v>61</v>
      </c>
      <c r="D130" s="11" t="s">
        <v>62</v>
      </c>
      <c r="E130" s="8" t="s">
        <v>63</v>
      </c>
      <c r="F130" s="9" t="s">
        <v>64</v>
      </c>
      <c r="G130" s="6" t="s">
        <v>65</v>
      </c>
      <c r="H130" s="6" t="s">
        <v>66</v>
      </c>
      <c r="I130" s="6" t="s">
        <v>67</v>
      </c>
      <c r="J130" s="6" t="s">
        <v>68</v>
      </c>
      <c r="K130" s="7" t="s">
        <v>69</v>
      </c>
      <c r="L130" s="6" t="s">
        <v>70</v>
      </c>
      <c r="M130" s="6" t="s">
        <v>71</v>
      </c>
      <c r="N130" s="6" t="s">
        <v>72</v>
      </c>
      <c r="O130" s="7" t="s">
        <v>73</v>
      </c>
      <c r="P130" s="13" t="s">
        <v>74</v>
      </c>
      <c r="Q130" s="5" t="s">
        <v>75</v>
      </c>
      <c r="R130" s="1" t="s">
        <v>76</v>
      </c>
      <c r="S130" s="1" t="s">
        <v>77</v>
      </c>
      <c r="T130" s="12" t="s">
        <v>78</v>
      </c>
    </row>
    <row r="131" spans="1:20" ht="38.25" x14ac:dyDescent="0.25">
      <c r="A131" s="11">
        <v>1</v>
      </c>
      <c r="B131" s="11" t="s">
        <v>568</v>
      </c>
      <c r="C131" s="14" t="s">
        <v>560</v>
      </c>
      <c r="D131" s="11" t="s">
        <v>4</v>
      </c>
      <c r="E131" s="8">
        <v>1</v>
      </c>
      <c r="F131" s="9">
        <v>2784.48</v>
      </c>
      <c r="G131" s="6">
        <f t="shared" ref="G131:G133" si="67">F131*$E131</f>
        <v>2784.48</v>
      </c>
      <c r="H131" s="6">
        <v>0</v>
      </c>
      <c r="I131" s="6">
        <f t="shared" ref="I131:I133" si="68">H131*$E131</f>
        <v>0</v>
      </c>
      <c r="J131" s="6">
        <v>1937</v>
      </c>
      <c r="K131" s="7">
        <f t="shared" ref="K131:K133" si="69">J131*$E131</f>
        <v>1937</v>
      </c>
      <c r="L131" s="6"/>
      <c r="M131" s="6">
        <f t="shared" ref="M131:M133" si="70">L131*$E131</f>
        <v>0</v>
      </c>
      <c r="N131" s="6"/>
      <c r="O131" s="7">
        <f t="shared" ref="O131:O133" si="71">N131*$E131</f>
        <v>0</v>
      </c>
      <c r="P131" s="13">
        <f t="shared" ref="P131:P133" si="72">MEDIAN(J131,H131,F131,L131,N131)</f>
        <v>1937</v>
      </c>
      <c r="Q131" s="5" t="str">
        <f t="shared" ref="Q131:Q136" si="73">_xlfn.XLOOKUP(P131,F131:O131,$F$128:$O$128)</f>
        <v>AESA COMÉRCIO DE TUBOS E CONEXÕES EIRELI</v>
      </c>
      <c r="R131" s="1" t="str">
        <f>_xlfn.XLOOKUP(Q131,'RELAÇÃO DE FORNECEDORES'!$A$3:$A$287,'RELAÇÃO DE FORNECEDORES'!$B$3:$B$287)</f>
        <v>34.558.680/0001-85</v>
      </c>
      <c r="S131" s="1" t="str">
        <f>_xlfn.XLOOKUP(Q131,'RELAÇÃO DE FORNECEDORES'!$A$3:$A$287,'RELAÇÃO DE FORNECEDORES'!$E$3:$E$287)</f>
        <v>PAULO ALBERTO</v>
      </c>
      <c r="T131" s="12">
        <f>_xlfn.XLOOKUP(Q131,'RELAÇÃO DE FORNECEDORES'!$A$3:$A$287,'RELAÇÃO DE FORNECEDORES'!$C$3:$C$287)</f>
        <v>44330</v>
      </c>
    </row>
    <row r="132" spans="1:20" ht="25.5" x14ac:dyDescent="0.25">
      <c r="A132" s="11">
        <v>2</v>
      </c>
      <c r="B132" s="11" t="s">
        <v>575</v>
      </c>
      <c r="C132" s="14" t="s">
        <v>561</v>
      </c>
      <c r="D132" s="11" t="s">
        <v>4</v>
      </c>
      <c r="E132" s="8">
        <v>1</v>
      </c>
      <c r="F132" s="9">
        <v>929.31</v>
      </c>
      <c r="G132" s="6">
        <f t="shared" si="67"/>
        <v>929.31</v>
      </c>
      <c r="H132" s="6">
        <v>948.04</v>
      </c>
      <c r="I132" s="6">
        <f t="shared" si="68"/>
        <v>948.04</v>
      </c>
      <c r="J132" s="6">
        <v>814</v>
      </c>
      <c r="K132" s="7">
        <f t="shared" si="69"/>
        <v>814</v>
      </c>
      <c r="L132" s="6"/>
      <c r="M132" s="6">
        <f t="shared" si="70"/>
        <v>0</v>
      </c>
      <c r="N132" s="6"/>
      <c r="O132" s="7">
        <f t="shared" si="71"/>
        <v>0</v>
      </c>
      <c r="P132" s="13">
        <f t="shared" si="72"/>
        <v>929.31</v>
      </c>
      <c r="Q132" s="5" t="str">
        <f t="shared" si="73"/>
        <v>DTS SANEAMENTO VÁLVULAS E CONEXÕES LTDA</v>
      </c>
      <c r="R132" s="1" t="str">
        <f>_xlfn.XLOOKUP(Q132,'RELAÇÃO DE FORNECEDORES'!$A$3:$A$287,'RELAÇÃO DE FORNECEDORES'!$B$3:$B$287)</f>
        <v>30.194.330/0001-26</v>
      </c>
      <c r="S132" s="1" t="str">
        <f>_xlfn.XLOOKUP(Q132,'RELAÇÃO DE FORNECEDORES'!$A$3:$A$287,'RELAÇÃO DE FORNECEDORES'!$E$3:$E$287)</f>
        <v>GILVAN MARTINS</v>
      </c>
      <c r="T132" s="12">
        <f>_xlfn.XLOOKUP(Q132,'RELAÇÃO DE FORNECEDORES'!$A$3:$A$287,'RELAÇÃO DE FORNECEDORES'!$C$3:$C$287)</f>
        <v>44546</v>
      </c>
    </row>
    <row r="133" spans="1:20" ht="25.5" x14ac:dyDescent="0.25">
      <c r="A133" s="11">
        <v>3</v>
      </c>
      <c r="B133" s="11" t="s">
        <v>576</v>
      </c>
      <c r="C133" s="14" t="s">
        <v>562</v>
      </c>
      <c r="D133" s="11" t="s">
        <v>4</v>
      </c>
      <c r="E133" s="8">
        <v>1</v>
      </c>
      <c r="F133" s="9">
        <v>700</v>
      </c>
      <c r="G133" s="6">
        <f t="shared" si="67"/>
        <v>700</v>
      </c>
      <c r="H133" s="6">
        <v>0</v>
      </c>
      <c r="I133" s="6">
        <f t="shared" si="68"/>
        <v>0</v>
      </c>
      <c r="J133" s="6">
        <v>1260</v>
      </c>
      <c r="K133" s="7">
        <f t="shared" si="69"/>
        <v>1260</v>
      </c>
      <c r="L133" s="6"/>
      <c r="M133" s="6">
        <f t="shared" si="70"/>
        <v>0</v>
      </c>
      <c r="N133" s="6"/>
      <c r="O133" s="7">
        <f t="shared" si="71"/>
        <v>0</v>
      </c>
      <c r="P133" s="13">
        <f t="shared" si="72"/>
        <v>700</v>
      </c>
      <c r="Q133" s="5" t="str">
        <f t="shared" si="73"/>
        <v>DTS SANEAMENTO VÁLVULAS E CONEXÕES LTDA</v>
      </c>
      <c r="R133" s="1" t="str">
        <f>_xlfn.XLOOKUP(Q133,'RELAÇÃO DE FORNECEDORES'!$A$3:$A$287,'RELAÇÃO DE FORNECEDORES'!$B$3:$B$287)</f>
        <v>30.194.330/0001-26</v>
      </c>
      <c r="S133" s="1" t="str">
        <f>_xlfn.XLOOKUP(Q133,'RELAÇÃO DE FORNECEDORES'!$A$3:$A$287,'RELAÇÃO DE FORNECEDORES'!$E$3:$E$287)</f>
        <v>GILVAN MARTINS</v>
      </c>
      <c r="T133" s="12">
        <f>_xlfn.XLOOKUP(Q133,'RELAÇÃO DE FORNECEDORES'!$A$3:$A$287,'RELAÇÃO DE FORNECEDORES'!$C$3:$C$287)</f>
        <v>44546</v>
      </c>
    </row>
    <row r="134" spans="1:20" ht="25.5" x14ac:dyDescent="0.25">
      <c r="A134" s="11">
        <v>4</v>
      </c>
      <c r="B134" s="11" t="s">
        <v>577</v>
      </c>
      <c r="C134" s="14" t="s">
        <v>563</v>
      </c>
      <c r="D134" s="11" t="s">
        <v>4</v>
      </c>
      <c r="E134" s="8">
        <v>1</v>
      </c>
      <c r="F134" s="76">
        <v>618.45000000000005</v>
      </c>
      <c r="G134" s="6">
        <f>F134*$E134</f>
        <v>618.45000000000005</v>
      </c>
      <c r="H134" s="42">
        <v>393.69</v>
      </c>
      <c r="I134" s="6">
        <f>H134*$E134</f>
        <v>393.69</v>
      </c>
      <c r="J134" s="6">
        <v>452</v>
      </c>
      <c r="K134" s="7">
        <f>J134*$E134</f>
        <v>452</v>
      </c>
      <c r="L134" s="6"/>
      <c r="M134" s="6">
        <f>L134*$E134</f>
        <v>0</v>
      </c>
      <c r="N134" s="6"/>
      <c r="O134" s="7">
        <f>N134*$E134</f>
        <v>0</v>
      </c>
      <c r="P134" s="13">
        <f>MEDIAN(J134,H134,F134,L134,N134)</f>
        <v>452</v>
      </c>
      <c r="Q134" s="26" t="str">
        <f t="shared" si="73"/>
        <v>AESA COMÉRCIO DE TUBOS E CONEXÕES EIRELI</v>
      </c>
      <c r="R134" s="1" t="str">
        <f>_xlfn.XLOOKUP(Q134,'RELAÇÃO DE FORNECEDORES'!$A$3:$A$287,'RELAÇÃO DE FORNECEDORES'!$B$3:$B$287)</f>
        <v>34.558.680/0001-85</v>
      </c>
      <c r="S134" s="1" t="str">
        <f>_xlfn.XLOOKUP(Q134,'RELAÇÃO DE FORNECEDORES'!$A$3:$A$287,'RELAÇÃO DE FORNECEDORES'!$E$3:$E$287)</f>
        <v>PAULO ALBERTO</v>
      </c>
      <c r="T134" s="12">
        <f>_xlfn.XLOOKUP(Q134,'RELAÇÃO DE FORNECEDORES'!$A$3:$A$287,'RELAÇÃO DE FORNECEDORES'!$C$3:$C$287)</f>
        <v>44330</v>
      </c>
    </row>
    <row r="135" spans="1:20" ht="25.5" x14ac:dyDescent="0.25">
      <c r="A135" s="11">
        <v>5</v>
      </c>
      <c r="B135" s="11" t="s">
        <v>574</v>
      </c>
      <c r="C135" s="14" t="s">
        <v>558</v>
      </c>
      <c r="D135" s="11" t="s">
        <v>4</v>
      </c>
      <c r="E135" s="8">
        <v>1</v>
      </c>
      <c r="F135" s="76">
        <v>201.72</v>
      </c>
      <c r="G135" s="6">
        <f>F135*$E135</f>
        <v>201.72</v>
      </c>
      <c r="H135" s="42">
        <v>179.99</v>
      </c>
      <c r="I135" s="6">
        <f>H135*$E135</f>
        <v>179.99</v>
      </c>
      <c r="J135" s="6">
        <v>182</v>
      </c>
      <c r="K135" s="7">
        <f>J135*$E135</f>
        <v>182</v>
      </c>
      <c r="L135" s="6"/>
      <c r="M135" s="6">
        <f>L135*$E135</f>
        <v>0</v>
      </c>
      <c r="N135" s="6"/>
      <c r="O135" s="7">
        <f>N135*$E135</f>
        <v>0</v>
      </c>
      <c r="P135" s="13">
        <f>MEDIAN(J135,H135,F135,L135,N135)</f>
        <v>182</v>
      </c>
      <c r="Q135" s="26" t="str">
        <f t="shared" si="73"/>
        <v>AESA COMÉRCIO DE TUBOS E CONEXÕES EIRELI</v>
      </c>
      <c r="R135" s="1" t="str">
        <f>_xlfn.XLOOKUP(Q135,'RELAÇÃO DE FORNECEDORES'!$A$3:$A$287,'RELAÇÃO DE FORNECEDORES'!$B$3:$B$287)</f>
        <v>34.558.680/0001-85</v>
      </c>
      <c r="S135" s="1" t="str">
        <f>_xlfn.XLOOKUP(Q135,'RELAÇÃO DE FORNECEDORES'!$A$3:$A$287,'RELAÇÃO DE FORNECEDORES'!$E$3:$E$287)</f>
        <v>PAULO ALBERTO</v>
      </c>
      <c r="T135" s="12">
        <f>_xlfn.XLOOKUP(Q135,'RELAÇÃO DE FORNECEDORES'!$A$3:$A$287,'RELAÇÃO DE FORNECEDORES'!$C$3:$C$287)</f>
        <v>44330</v>
      </c>
    </row>
    <row r="136" spans="1:20" ht="25.5" x14ac:dyDescent="0.25">
      <c r="A136" s="11">
        <v>6</v>
      </c>
      <c r="B136" s="11" t="s">
        <v>573</v>
      </c>
      <c r="C136" s="14" t="s">
        <v>557</v>
      </c>
      <c r="D136" s="11" t="s">
        <v>4</v>
      </c>
      <c r="E136" s="8">
        <v>1</v>
      </c>
      <c r="F136" s="76">
        <v>775.86</v>
      </c>
      <c r="G136" s="6">
        <f>F136*$E136</f>
        <v>775.86</v>
      </c>
      <c r="H136" s="42">
        <v>728.15</v>
      </c>
      <c r="I136" s="6">
        <f>H136*$E136</f>
        <v>728.15</v>
      </c>
      <c r="J136" s="6">
        <v>480</v>
      </c>
      <c r="K136" s="7">
        <f>J136*$E136</f>
        <v>480</v>
      </c>
      <c r="L136" s="6"/>
      <c r="M136" s="6">
        <f>L136*$E136</f>
        <v>0</v>
      </c>
      <c r="N136" s="6"/>
      <c r="O136" s="7">
        <f>N136*$E136</f>
        <v>0</v>
      </c>
      <c r="P136" s="13">
        <f>MEDIAN(J136,H136,F136,L136,N136)</f>
        <v>728.15</v>
      </c>
      <c r="Q136" s="26" t="str">
        <f t="shared" si="73"/>
        <v>AAGUA COMERCIO E DISTRIBUICAO DE MATERIAIS HIDRAULICOS EIRELI - EPP</v>
      </c>
      <c r="R136" s="1" t="str">
        <f>_xlfn.XLOOKUP(Q136,'RELAÇÃO DE FORNECEDORES'!$A$3:$A$287,'RELAÇÃO DE FORNECEDORES'!$B$3:$B$287)</f>
        <v>09.237.525/0001-10</v>
      </c>
      <c r="S136" s="1" t="str">
        <f>_xlfn.XLOOKUP(Q136,'RELAÇÃO DE FORNECEDORES'!$A$3:$A$287,'RELAÇÃO DE FORNECEDORES'!$E$3:$E$287)</f>
        <v>FERNANDO</v>
      </c>
      <c r="T136" s="12">
        <f>_xlfn.XLOOKUP(Q136,'RELAÇÃO DE FORNECEDORES'!$A$3:$A$287,'RELAÇÃO DE FORNECEDORES'!$C$3:$C$287)</f>
        <v>44624</v>
      </c>
    </row>
  </sheetData>
  <mergeCells count="140">
    <mergeCell ref="A73:T73"/>
    <mergeCell ref="A74:E74"/>
    <mergeCell ref="F74:O74"/>
    <mergeCell ref="P74:T74"/>
    <mergeCell ref="A75:A77"/>
    <mergeCell ref="B75:B77"/>
    <mergeCell ref="C75:C77"/>
    <mergeCell ref="D75:D77"/>
    <mergeCell ref="E75:E76"/>
    <mergeCell ref="F75:G75"/>
    <mergeCell ref="F76:G76"/>
    <mergeCell ref="H76:I76"/>
    <mergeCell ref="J76:K76"/>
    <mergeCell ref="L76:M76"/>
    <mergeCell ref="P75:T76"/>
    <mergeCell ref="N76:O76"/>
    <mergeCell ref="H75:I75"/>
    <mergeCell ref="J75:K75"/>
    <mergeCell ref="L75:M75"/>
    <mergeCell ref="N75:O75"/>
    <mergeCell ref="A62:T62"/>
    <mergeCell ref="A63:E63"/>
    <mergeCell ref="F63:O63"/>
    <mergeCell ref="P63:T63"/>
    <mergeCell ref="A64:A66"/>
    <mergeCell ref="B64:B66"/>
    <mergeCell ref="C64:C66"/>
    <mergeCell ref="D64:D66"/>
    <mergeCell ref="E64:E65"/>
    <mergeCell ref="F64:G64"/>
    <mergeCell ref="F65:G65"/>
    <mergeCell ref="H65:I65"/>
    <mergeCell ref="J65:K65"/>
    <mergeCell ref="L65:M65"/>
    <mergeCell ref="N65:O65"/>
    <mergeCell ref="H64:I64"/>
    <mergeCell ref="J64:K64"/>
    <mergeCell ref="L64:M64"/>
    <mergeCell ref="N64:O64"/>
    <mergeCell ref="P64:T65"/>
    <mergeCell ref="A4:T4"/>
    <mergeCell ref="A5:E5"/>
    <mergeCell ref="F5:O5"/>
    <mergeCell ref="P5:T5"/>
    <mergeCell ref="A6:A8"/>
    <mergeCell ref="B6:B8"/>
    <mergeCell ref="C6:C8"/>
    <mergeCell ref="D6:D8"/>
    <mergeCell ref="E6:E7"/>
    <mergeCell ref="F6:G6"/>
    <mergeCell ref="F7:G7"/>
    <mergeCell ref="H7:I7"/>
    <mergeCell ref="J7:K7"/>
    <mergeCell ref="L7:M7"/>
    <mergeCell ref="N7:O7"/>
    <mergeCell ref="H6:I6"/>
    <mergeCell ref="J6:K6"/>
    <mergeCell ref="L6:M6"/>
    <mergeCell ref="N6:O6"/>
    <mergeCell ref="P6:T7"/>
    <mergeCell ref="H87:I87"/>
    <mergeCell ref="J87:K87"/>
    <mergeCell ref="L87:M87"/>
    <mergeCell ref="N87:O87"/>
    <mergeCell ref="A95:T95"/>
    <mergeCell ref="A84:T84"/>
    <mergeCell ref="A85:E85"/>
    <mergeCell ref="F85:O85"/>
    <mergeCell ref="P85:T85"/>
    <mergeCell ref="A86:A88"/>
    <mergeCell ref="B86:B88"/>
    <mergeCell ref="C86:C88"/>
    <mergeCell ref="D86:D88"/>
    <mergeCell ref="E86:E87"/>
    <mergeCell ref="F86:G86"/>
    <mergeCell ref="H86:I86"/>
    <mergeCell ref="J86:K86"/>
    <mergeCell ref="L86:M86"/>
    <mergeCell ref="N86:O86"/>
    <mergeCell ref="P86:T87"/>
    <mergeCell ref="F87:G87"/>
    <mergeCell ref="A96:E96"/>
    <mergeCell ref="F96:O96"/>
    <mergeCell ref="P96:T96"/>
    <mergeCell ref="A97:A99"/>
    <mergeCell ref="B97:B99"/>
    <mergeCell ref="C97:C99"/>
    <mergeCell ref="D97:D99"/>
    <mergeCell ref="E97:E98"/>
    <mergeCell ref="F97:G97"/>
    <mergeCell ref="H97:I97"/>
    <mergeCell ref="J97:K97"/>
    <mergeCell ref="L97:M97"/>
    <mergeCell ref="N97:O97"/>
    <mergeCell ref="P97:T98"/>
    <mergeCell ref="F98:G98"/>
    <mergeCell ref="H98:I98"/>
    <mergeCell ref="A110:A112"/>
    <mergeCell ref="B110:B112"/>
    <mergeCell ref="C110:C112"/>
    <mergeCell ref="D110:D112"/>
    <mergeCell ref="E110:E111"/>
    <mergeCell ref="J98:K98"/>
    <mergeCell ref="L98:M98"/>
    <mergeCell ref="N98:O98"/>
    <mergeCell ref="A108:T108"/>
    <mergeCell ref="A109:E109"/>
    <mergeCell ref="F109:O109"/>
    <mergeCell ref="P109:T109"/>
    <mergeCell ref="P110:T111"/>
    <mergeCell ref="F111:G111"/>
    <mergeCell ref="H111:I111"/>
    <mergeCell ref="J111:K111"/>
    <mergeCell ref="L111:M111"/>
    <mergeCell ref="N111:O111"/>
    <mergeCell ref="F110:G110"/>
    <mergeCell ref="H110:I110"/>
    <mergeCell ref="J110:K110"/>
    <mergeCell ref="L110:M110"/>
    <mergeCell ref="N110:O110"/>
    <mergeCell ref="H128:I128"/>
    <mergeCell ref="J128:K128"/>
    <mergeCell ref="L128:M128"/>
    <mergeCell ref="N128:O128"/>
    <mergeCell ref="A125:T125"/>
    <mergeCell ref="A126:E126"/>
    <mergeCell ref="F126:O126"/>
    <mergeCell ref="P126:T126"/>
    <mergeCell ref="A127:A129"/>
    <mergeCell ref="B127:B129"/>
    <mergeCell ref="C127:C129"/>
    <mergeCell ref="D127:D129"/>
    <mergeCell ref="E127:E128"/>
    <mergeCell ref="F127:G127"/>
    <mergeCell ref="H127:I127"/>
    <mergeCell ref="J127:K127"/>
    <mergeCell ref="L127:M127"/>
    <mergeCell ref="N127:O127"/>
    <mergeCell ref="P127:T128"/>
    <mergeCell ref="F128:G128"/>
  </mergeCells>
  <phoneticPr fontId="7" type="noConversion"/>
  <pageMargins left="0.511811024" right="0.511811024" top="0.78740157499999996" bottom="0.78740157499999996" header="0.31496062000000002" footer="0.31496062000000002"/>
  <pageSetup paperSize="9" scale="50" orientation="landscape" horizontalDpi="4294967292" r:id="rId1"/>
  <tableParts count="7">
    <tablePart r:id="rId2"/>
    <tablePart r:id="rId3"/>
    <tablePart r:id="rId4"/>
    <tablePart r:id="rId5"/>
    <tablePart r:id="rId6"/>
    <tablePart r:id="rId7"/>
    <tablePart r:id="rId8"/>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'RELAÇÃO DE FORNECEDORES'!$A$3:$A$360</xm:f>
          </x14:formula1>
          <xm:sqref>F7:O7 F76:O76 F65:O65 F87:O87 F98:O98 F111:O111 F128:O128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showGridLines="0" showWhiteSpace="0" view="pageLayout" topLeftCell="B14" zoomScale="70" zoomScaleNormal="60" zoomScalePageLayoutView="70" workbookViewId="0">
      <selection activeCell="J31" sqref="J31"/>
    </sheetView>
  </sheetViews>
  <sheetFormatPr defaultColWidth="9.140625" defaultRowHeight="12.75" x14ac:dyDescent="0.25"/>
  <cols>
    <col min="1" max="1" width="11.85546875" style="1" customWidth="1"/>
    <col min="2" max="2" width="9.7109375" style="1" customWidth="1"/>
    <col min="3" max="3" width="35.7109375" style="2" customWidth="1"/>
    <col min="4" max="4" width="9.7109375" style="1" customWidth="1"/>
    <col min="5" max="5" width="10.7109375" style="3" customWidth="1"/>
    <col min="6" max="11" width="15.28515625" style="3" customWidth="1"/>
    <col min="12" max="15" width="15.28515625" style="3" hidden="1" customWidth="1"/>
    <col min="16" max="16" width="15.28515625" style="3" customWidth="1"/>
    <col min="17" max="17" width="31.85546875" style="3" customWidth="1"/>
    <col min="18" max="18" width="19.85546875" style="3" customWidth="1"/>
    <col min="19" max="19" width="22.5703125" style="3" customWidth="1"/>
    <col min="20" max="20" width="12" style="3" customWidth="1"/>
    <col min="21" max="16384" width="9.140625" style="3"/>
  </cols>
  <sheetData>
    <row r="1" spans="1:20" x14ac:dyDescent="0.25">
      <c r="A1" s="17" t="s">
        <v>52</v>
      </c>
      <c r="B1" s="16" t="s">
        <v>54</v>
      </c>
    </row>
    <row r="2" spans="1:20" x14ac:dyDescent="0.25">
      <c r="A2" s="17" t="s">
        <v>53</v>
      </c>
      <c r="B2" s="16" t="s">
        <v>533</v>
      </c>
    </row>
    <row r="3" spans="1:20" x14ac:dyDescent="0.25">
      <c r="A3" s="17"/>
      <c r="B3" s="16"/>
    </row>
    <row r="4" spans="1:20" x14ac:dyDescent="0.25">
      <c r="A4" s="96" t="s">
        <v>492</v>
      </c>
      <c r="B4" s="96"/>
      <c r="C4" s="96"/>
      <c r="D4" s="96"/>
      <c r="E4" s="96"/>
      <c r="F4" s="96"/>
      <c r="G4" s="96"/>
      <c r="H4" s="96"/>
      <c r="I4" s="96"/>
      <c r="J4" s="96"/>
      <c r="K4" s="96"/>
      <c r="L4" s="96"/>
      <c r="M4" s="96"/>
      <c r="N4" s="96"/>
      <c r="O4" s="96"/>
      <c r="P4" s="96"/>
      <c r="Q4" s="96"/>
      <c r="R4" s="96"/>
      <c r="S4" s="96"/>
      <c r="T4" s="96"/>
    </row>
    <row r="5" spans="1:20" x14ac:dyDescent="0.25">
      <c r="A5" s="93" t="s">
        <v>27</v>
      </c>
      <c r="B5" s="93"/>
      <c r="C5" s="93"/>
      <c r="D5" s="93"/>
      <c r="E5" s="94"/>
      <c r="F5" s="95" t="s">
        <v>23</v>
      </c>
      <c r="G5" s="93"/>
      <c r="H5" s="93"/>
      <c r="I5" s="93"/>
      <c r="J5" s="93"/>
      <c r="K5" s="93"/>
      <c r="L5" s="93"/>
      <c r="M5" s="93"/>
      <c r="N5" s="93"/>
      <c r="O5" s="94"/>
      <c r="P5" s="78" t="s">
        <v>25</v>
      </c>
      <c r="Q5" s="78"/>
      <c r="R5" s="78"/>
      <c r="S5" s="78"/>
      <c r="T5" s="78"/>
    </row>
    <row r="6" spans="1:20" ht="41.25" customHeight="1" x14ac:dyDescent="0.25">
      <c r="A6" s="79" t="s">
        <v>1</v>
      </c>
      <c r="B6" s="79" t="s">
        <v>13</v>
      </c>
      <c r="C6" s="81" t="s">
        <v>0</v>
      </c>
      <c r="D6" s="79" t="s">
        <v>2</v>
      </c>
      <c r="E6" s="83" t="s">
        <v>17</v>
      </c>
      <c r="F6" s="85" t="s">
        <v>6</v>
      </c>
      <c r="G6" s="86"/>
      <c r="H6" s="86" t="s">
        <v>18</v>
      </c>
      <c r="I6" s="86"/>
      <c r="J6" s="86" t="s">
        <v>19</v>
      </c>
      <c r="K6" s="87"/>
      <c r="L6" s="86" t="s">
        <v>20</v>
      </c>
      <c r="M6" s="86"/>
      <c r="N6" s="86" t="s">
        <v>21</v>
      </c>
      <c r="O6" s="87"/>
      <c r="P6" s="88" t="s">
        <v>26</v>
      </c>
      <c r="Q6" s="79"/>
      <c r="R6" s="79"/>
      <c r="S6" s="79"/>
      <c r="T6" s="79"/>
    </row>
    <row r="7" spans="1:20" ht="41.25" customHeight="1" x14ac:dyDescent="0.25">
      <c r="A7" s="80"/>
      <c r="B7" s="80"/>
      <c r="C7" s="82"/>
      <c r="D7" s="80"/>
      <c r="E7" s="84"/>
      <c r="F7" s="90" t="s">
        <v>499</v>
      </c>
      <c r="G7" s="91"/>
      <c r="H7" s="91" t="s">
        <v>503</v>
      </c>
      <c r="I7" s="91"/>
      <c r="J7" s="91"/>
      <c r="K7" s="92"/>
      <c r="L7" s="91"/>
      <c r="M7" s="91"/>
      <c r="N7" s="91"/>
      <c r="O7" s="92"/>
      <c r="P7" s="89"/>
      <c r="Q7" s="78"/>
      <c r="R7" s="78"/>
      <c r="S7" s="78"/>
      <c r="T7" s="78"/>
    </row>
    <row r="8" spans="1:20" ht="25.5" x14ac:dyDescent="0.25">
      <c r="A8" s="80"/>
      <c r="B8" s="80"/>
      <c r="C8" s="82"/>
      <c r="D8" s="80"/>
      <c r="E8" s="18" t="s">
        <v>3</v>
      </c>
      <c r="F8" s="19" t="s">
        <v>15</v>
      </c>
      <c r="G8" s="72" t="s">
        <v>16</v>
      </c>
      <c r="H8" s="72" t="s">
        <v>15</v>
      </c>
      <c r="I8" s="72" t="s">
        <v>16</v>
      </c>
      <c r="J8" s="72" t="s">
        <v>15</v>
      </c>
      <c r="K8" s="21" t="s">
        <v>16</v>
      </c>
      <c r="L8" s="72" t="s">
        <v>15</v>
      </c>
      <c r="M8" s="72" t="s">
        <v>16</v>
      </c>
      <c r="N8" s="72" t="s">
        <v>15</v>
      </c>
      <c r="O8" s="21" t="s">
        <v>16</v>
      </c>
      <c r="P8" s="71" t="s">
        <v>24</v>
      </c>
      <c r="Q8" s="71" t="s">
        <v>5</v>
      </c>
      <c r="R8" s="71" t="s">
        <v>8</v>
      </c>
      <c r="S8" s="71" t="s">
        <v>9</v>
      </c>
      <c r="T8" s="72" t="s">
        <v>14</v>
      </c>
    </row>
    <row r="9" spans="1:20" hidden="1" x14ac:dyDescent="0.25">
      <c r="A9" s="11" t="s">
        <v>59</v>
      </c>
      <c r="B9" s="11" t="s">
        <v>60</v>
      </c>
      <c r="C9" s="14" t="s">
        <v>61</v>
      </c>
      <c r="D9" s="11" t="s">
        <v>62</v>
      </c>
      <c r="E9" s="8" t="s">
        <v>63</v>
      </c>
      <c r="F9" s="9" t="s">
        <v>64</v>
      </c>
      <c r="G9" s="6" t="s">
        <v>65</v>
      </c>
      <c r="H9" s="6" t="s">
        <v>66</v>
      </c>
      <c r="I9" s="6" t="s">
        <v>67</v>
      </c>
      <c r="J9" s="6" t="s">
        <v>68</v>
      </c>
      <c r="K9" s="7" t="s">
        <v>69</v>
      </c>
      <c r="L9" s="6" t="s">
        <v>70</v>
      </c>
      <c r="M9" s="6" t="s">
        <v>71</v>
      </c>
      <c r="N9" s="6" t="s">
        <v>72</v>
      </c>
      <c r="O9" s="7" t="s">
        <v>73</v>
      </c>
      <c r="P9" s="13" t="s">
        <v>74</v>
      </c>
      <c r="Q9" s="5" t="s">
        <v>75</v>
      </c>
      <c r="R9" s="1" t="s">
        <v>76</v>
      </c>
      <c r="S9" s="1" t="s">
        <v>77</v>
      </c>
      <c r="T9" s="12" t="s">
        <v>78</v>
      </c>
    </row>
    <row r="10" spans="1:20" ht="30" x14ac:dyDescent="0.25">
      <c r="A10" s="11">
        <v>1</v>
      </c>
      <c r="B10" s="11" t="s">
        <v>494</v>
      </c>
      <c r="C10" s="14" t="s">
        <v>493</v>
      </c>
      <c r="D10" s="11" t="s">
        <v>45</v>
      </c>
      <c r="E10" s="8">
        <v>300</v>
      </c>
      <c r="F10" s="9">
        <v>10.83</v>
      </c>
      <c r="G10" s="6">
        <f>F10*$E10</f>
        <v>3249</v>
      </c>
      <c r="H10" s="6">
        <v>11.42</v>
      </c>
      <c r="I10" s="6">
        <f t="shared" ref="I10:I25" si="0">H10*$E10</f>
        <v>3426</v>
      </c>
      <c r="J10" s="6">
        <v>0</v>
      </c>
      <c r="K10" s="7">
        <f t="shared" ref="K10:K25" si="1">J10*$E10</f>
        <v>0</v>
      </c>
      <c r="L10" s="6"/>
      <c r="M10" s="6">
        <f t="shared" ref="M10:M25" si="2">L10*$E10</f>
        <v>0</v>
      </c>
      <c r="N10" s="6"/>
      <c r="O10" s="7">
        <f t="shared" ref="O10:O25" si="3">N10*$E10</f>
        <v>0</v>
      </c>
      <c r="P10" s="13">
        <f t="shared" ref="P10:P25" si="4">MEDIAN(J10,H10,F10,L10,N10)</f>
        <v>10.83</v>
      </c>
      <c r="Q10" s="23" t="str">
        <f t="shared" ref="Q10:Q25" si="5">_xlfn.XLOOKUP(P10,F10:O10,$F$7:$O$7)</f>
        <v>PARANA COM DE MAT ELET E SERV LTDA</v>
      </c>
      <c r="R10" s="1" t="str">
        <f>_xlfn.XLOOKUP(Q10,'RELAÇÃO DE FORNECEDORES'!$A$3:$A$287,'RELAÇÃO DE FORNECEDORES'!$B$3:$B$287)</f>
        <v>08.139.615/0001-05</v>
      </c>
      <c r="S10" s="1" t="str">
        <f>_xlfn.XLOOKUP(Q10,'RELAÇÃO DE FORNECEDORES'!$A$3:$A$287,'RELAÇÃO DE FORNECEDORES'!$E$3:$E$287)</f>
        <v>DANNYELLE</v>
      </c>
      <c r="T10" s="12">
        <f>_xlfn.XLOOKUP(Q10,'RELAÇÃO DE FORNECEDORES'!$A$3:$A$287,'RELAÇÃO DE FORNECEDORES'!$C$3:$C$287)</f>
        <v>44480</v>
      </c>
    </row>
    <row r="11" spans="1:20" ht="30" x14ac:dyDescent="0.25">
      <c r="A11" s="11">
        <v>2</v>
      </c>
      <c r="B11" s="11" t="s">
        <v>495</v>
      </c>
      <c r="C11" s="2" t="s">
        <v>507</v>
      </c>
      <c r="D11" s="1" t="s">
        <v>45</v>
      </c>
      <c r="E11" s="8">
        <v>100</v>
      </c>
      <c r="F11" s="9">
        <v>13.83</v>
      </c>
      <c r="G11" s="15">
        <f t="shared" ref="G11" si="6">F11*$E11</f>
        <v>1383</v>
      </c>
      <c r="H11" s="6">
        <v>16</v>
      </c>
      <c r="I11" s="6">
        <f t="shared" si="0"/>
        <v>1600</v>
      </c>
      <c r="J11" s="6">
        <v>0</v>
      </c>
      <c r="K11" s="7">
        <f t="shared" si="1"/>
        <v>0</v>
      </c>
      <c r="L11" s="6"/>
      <c r="M11" s="6">
        <f t="shared" si="2"/>
        <v>0</v>
      </c>
      <c r="N11" s="6"/>
      <c r="O11" s="7">
        <f t="shared" si="3"/>
        <v>0</v>
      </c>
      <c r="P11" s="13">
        <f t="shared" si="4"/>
        <v>13.83</v>
      </c>
      <c r="Q11" s="23" t="str">
        <f t="shared" si="5"/>
        <v>PARANA COM DE MAT ELET E SERV LTDA</v>
      </c>
      <c r="R11" s="1" t="str">
        <f>_xlfn.XLOOKUP(Q11,'RELAÇÃO DE FORNECEDORES'!$A$3:$A$287,'RELAÇÃO DE FORNECEDORES'!$B$3:$B$287)</f>
        <v>08.139.615/0001-05</v>
      </c>
      <c r="S11" s="1" t="str">
        <f>_xlfn.XLOOKUP(Q11,'RELAÇÃO DE FORNECEDORES'!$A$3:$A$287,'RELAÇÃO DE FORNECEDORES'!$E$3:$E$287)</f>
        <v>DANNYELLE</v>
      </c>
      <c r="T11" s="12">
        <f>_xlfn.XLOOKUP(Q11,'RELAÇÃO DE FORNECEDORES'!$A$3:$A$287,'RELAÇÃO DE FORNECEDORES'!$C$3:$C$287)</f>
        <v>44480</v>
      </c>
    </row>
    <row r="12" spans="1:20" ht="30" x14ac:dyDescent="0.25">
      <c r="A12" s="11">
        <v>3</v>
      </c>
      <c r="B12" s="11" t="s">
        <v>496</v>
      </c>
      <c r="C12" s="2" t="s">
        <v>508</v>
      </c>
      <c r="D12" s="1" t="s">
        <v>4</v>
      </c>
      <c r="E12" s="8">
        <v>4</v>
      </c>
      <c r="F12" s="9">
        <v>236.57</v>
      </c>
      <c r="G12" s="15">
        <f t="shared" ref="G12:G25" si="7">F12*$E12</f>
        <v>946.28</v>
      </c>
      <c r="H12" s="6">
        <v>619.20000000000005</v>
      </c>
      <c r="I12" s="6">
        <f t="shared" si="0"/>
        <v>2476.8000000000002</v>
      </c>
      <c r="J12" s="6">
        <v>0</v>
      </c>
      <c r="K12" s="7">
        <f t="shared" si="1"/>
        <v>0</v>
      </c>
      <c r="L12" s="6"/>
      <c r="M12" s="6">
        <f t="shared" si="2"/>
        <v>0</v>
      </c>
      <c r="N12" s="6"/>
      <c r="O12" s="7">
        <f t="shared" si="3"/>
        <v>0</v>
      </c>
      <c r="P12" s="13">
        <f t="shared" si="4"/>
        <v>236.57</v>
      </c>
      <c r="Q12" s="23" t="str">
        <f t="shared" si="5"/>
        <v>PARANA COM DE MAT ELET E SERV LTDA</v>
      </c>
      <c r="R12" s="1" t="str">
        <f>_xlfn.XLOOKUP(Q12,'RELAÇÃO DE FORNECEDORES'!$A$3:$A$287,'RELAÇÃO DE FORNECEDORES'!$B$3:$B$287)</f>
        <v>08.139.615/0001-05</v>
      </c>
      <c r="S12" s="1" t="str">
        <f>_xlfn.XLOOKUP(Q12,'RELAÇÃO DE FORNECEDORES'!$A$3:$A$287,'RELAÇÃO DE FORNECEDORES'!$E$3:$E$287)</f>
        <v>DANNYELLE</v>
      </c>
      <c r="T12" s="12">
        <f>_xlfn.XLOOKUP(Q12,'RELAÇÃO DE FORNECEDORES'!$A$3:$A$287,'RELAÇÃO DE FORNECEDORES'!$C$3:$C$287)</f>
        <v>44480</v>
      </c>
    </row>
    <row r="13" spans="1:20" ht="30" x14ac:dyDescent="0.25">
      <c r="A13" s="11">
        <v>4</v>
      </c>
      <c r="B13" s="1" t="s">
        <v>497</v>
      </c>
      <c r="C13" s="2" t="s">
        <v>509</v>
      </c>
      <c r="D13" s="1" t="s">
        <v>4</v>
      </c>
      <c r="E13" s="8">
        <v>18</v>
      </c>
      <c r="F13" s="9">
        <v>119.89</v>
      </c>
      <c r="G13" s="15">
        <f t="shared" si="7"/>
        <v>2158.02</v>
      </c>
      <c r="H13" s="6">
        <v>154.1</v>
      </c>
      <c r="I13" s="6">
        <f t="shared" si="0"/>
        <v>2773.7999999999997</v>
      </c>
      <c r="J13" s="6">
        <v>0</v>
      </c>
      <c r="K13" s="7">
        <f t="shared" si="1"/>
        <v>0</v>
      </c>
      <c r="L13" s="6"/>
      <c r="M13" s="6">
        <f t="shared" si="2"/>
        <v>0</v>
      </c>
      <c r="N13" s="6"/>
      <c r="O13" s="7">
        <f t="shared" si="3"/>
        <v>0</v>
      </c>
      <c r="P13" s="13">
        <f t="shared" si="4"/>
        <v>119.89</v>
      </c>
      <c r="Q13" s="23" t="str">
        <f t="shared" si="5"/>
        <v>PARANA COM DE MAT ELET E SERV LTDA</v>
      </c>
      <c r="R13" s="1" t="str">
        <f>_xlfn.XLOOKUP(Q13,'RELAÇÃO DE FORNECEDORES'!$A$3:$A$287,'RELAÇÃO DE FORNECEDORES'!$B$3:$B$287)</f>
        <v>08.139.615/0001-05</v>
      </c>
      <c r="S13" s="1" t="str">
        <f>_xlfn.XLOOKUP(Q13,'RELAÇÃO DE FORNECEDORES'!$A$3:$A$287,'RELAÇÃO DE FORNECEDORES'!$E$3:$E$287)</f>
        <v>DANNYELLE</v>
      </c>
      <c r="T13" s="12">
        <f>_xlfn.XLOOKUP(Q13,'RELAÇÃO DE FORNECEDORES'!$A$3:$A$287,'RELAÇÃO DE FORNECEDORES'!$C$3:$C$287)</f>
        <v>44480</v>
      </c>
    </row>
    <row r="14" spans="1:20" ht="30" x14ac:dyDescent="0.25">
      <c r="A14" s="11">
        <v>5</v>
      </c>
      <c r="B14" s="1" t="s">
        <v>498</v>
      </c>
      <c r="C14" s="2" t="s">
        <v>510</v>
      </c>
      <c r="D14" s="1" t="s">
        <v>45</v>
      </c>
      <c r="E14" s="8">
        <v>60</v>
      </c>
      <c r="F14" s="9">
        <v>61.75</v>
      </c>
      <c r="G14" s="15">
        <f t="shared" si="7"/>
        <v>3705</v>
      </c>
      <c r="H14" s="6">
        <v>55.18</v>
      </c>
      <c r="I14" s="6">
        <f t="shared" si="0"/>
        <v>3310.8</v>
      </c>
      <c r="J14" s="6">
        <v>0</v>
      </c>
      <c r="K14" s="7">
        <f t="shared" si="1"/>
        <v>0</v>
      </c>
      <c r="L14" s="6"/>
      <c r="M14" s="6">
        <f t="shared" si="2"/>
        <v>0</v>
      </c>
      <c r="N14" s="6"/>
      <c r="O14" s="7">
        <f t="shared" si="3"/>
        <v>0</v>
      </c>
      <c r="P14" s="13">
        <f t="shared" si="4"/>
        <v>55.18</v>
      </c>
      <c r="Q14" s="23" t="str">
        <f t="shared" si="5"/>
        <v>PIZZATTO MATERIAIS ELETRICOS LTDA</v>
      </c>
      <c r="R14" s="1" t="str">
        <f>_xlfn.XLOOKUP(Q14,'RELAÇÃO DE FORNECEDORES'!$A$3:$A$287,'RELAÇÃO DE FORNECEDORES'!$B$3:$B$287)</f>
        <v>04.181.115/0001-80</v>
      </c>
      <c r="S14" s="1" t="str">
        <f>_xlfn.XLOOKUP(Q14,'RELAÇÃO DE FORNECEDORES'!$A$3:$A$287,'RELAÇÃO DE FORNECEDORES'!$E$3:$E$287)</f>
        <v>LEANDRO</v>
      </c>
      <c r="T14" s="12">
        <f>_xlfn.XLOOKUP(Q14,'RELAÇÃO DE FORNECEDORES'!$A$3:$A$287,'RELAÇÃO DE FORNECEDORES'!$C$3:$C$287)</f>
        <v>44480</v>
      </c>
    </row>
    <row r="15" spans="1:20" ht="30" x14ac:dyDescent="0.25">
      <c r="A15" s="11">
        <v>6</v>
      </c>
      <c r="B15" s="1" t="s">
        <v>511</v>
      </c>
      <c r="C15" s="2" t="s">
        <v>512</v>
      </c>
      <c r="D15" s="1" t="s">
        <v>4</v>
      </c>
      <c r="E15" s="8">
        <v>2</v>
      </c>
      <c r="F15" s="9">
        <v>2696.19</v>
      </c>
      <c r="G15" s="15">
        <f t="shared" si="7"/>
        <v>5392.38</v>
      </c>
      <c r="H15" s="6">
        <v>2188.1999999999998</v>
      </c>
      <c r="I15" s="6">
        <f t="shared" si="0"/>
        <v>4376.3999999999996</v>
      </c>
      <c r="J15" s="6">
        <v>0</v>
      </c>
      <c r="K15" s="7">
        <f t="shared" si="1"/>
        <v>0</v>
      </c>
      <c r="L15" s="6"/>
      <c r="M15" s="6">
        <f t="shared" si="2"/>
        <v>0</v>
      </c>
      <c r="N15" s="6"/>
      <c r="O15" s="7">
        <f t="shared" si="3"/>
        <v>0</v>
      </c>
      <c r="P15" s="13">
        <f t="shared" si="4"/>
        <v>2188.1999999999998</v>
      </c>
      <c r="Q15" s="23" t="str">
        <f t="shared" si="5"/>
        <v>PIZZATTO MATERIAIS ELETRICOS LTDA</v>
      </c>
      <c r="R15" s="1" t="str">
        <f>_xlfn.XLOOKUP(Q15,'RELAÇÃO DE FORNECEDORES'!$A$3:$A$287,'RELAÇÃO DE FORNECEDORES'!$B$3:$B$287)</f>
        <v>04.181.115/0001-80</v>
      </c>
      <c r="S15" s="1" t="str">
        <f>_xlfn.XLOOKUP(Q15,'RELAÇÃO DE FORNECEDORES'!$A$3:$A$287,'RELAÇÃO DE FORNECEDORES'!$E$3:$E$287)</f>
        <v>LEANDRO</v>
      </c>
      <c r="T15" s="12">
        <f>_xlfn.XLOOKUP(Q15,'RELAÇÃO DE FORNECEDORES'!$A$3:$A$287,'RELAÇÃO DE FORNECEDORES'!$C$3:$C$287)</f>
        <v>44480</v>
      </c>
    </row>
    <row r="16" spans="1:20" ht="15" x14ac:dyDescent="0.25">
      <c r="A16" s="11">
        <v>7</v>
      </c>
      <c r="B16" s="1" t="s">
        <v>514</v>
      </c>
      <c r="C16" s="2" t="s">
        <v>513</v>
      </c>
      <c r="D16" s="1" t="s">
        <v>4</v>
      </c>
      <c r="E16" s="8">
        <v>2</v>
      </c>
      <c r="F16" s="9"/>
      <c r="G16" s="15">
        <f t="shared" si="7"/>
        <v>0</v>
      </c>
      <c r="H16" s="6"/>
      <c r="I16" s="6">
        <f t="shared" si="0"/>
        <v>0</v>
      </c>
      <c r="J16" s="6">
        <v>0</v>
      </c>
      <c r="K16" s="7">
        <f t="shared" si="1"/>
        <v>0</v>
      </c>
      <c r="L16" s="6"/>
      <c r="M16" s="6">
        <f t="shared" si="2"/>
        <v>0</v>
      </c>
      <c r="N16" s="6"/>
      <c r="O16" s="7">
        <f t="shared" si="3"/>
        <v>0</v>
      </c>
      <c r="P16" s="13">
        <f t="shared" si="4"/>
        <v>0</v>
      </c>
      <c r="Q16" s="23">
        <f t="shared" si="5"/>
        <v>0</v>
      </c>
      <c r="R16" s="1" t="e">
        <f>_xlfn.XLOOKUP(Q16,'RELAÇÃO DE FORNECEDORES'!$A$3:$A$287,'RELAÇÃO DE FORNECEDORES'!$B$3:$B$287)</f>
        <v>#N/A</v>
      </c>
      <c r="S16" s="1" t="e">
        <f>_xlfn.XLOOKUP(Q16,'RELAÇÃO DE FORNECEDORES'!$A$3:$A$287,'RELAÇÃO DE FORNECEDORES'!$E$3:$E$287)</f>
        <v>#N/A</v>
      </c>
      <c r="T16" s="12" t="e">
        <f>_xlfn.XLOOKUP(Q16,'RELAÇÃO DE FORNECEDORES'!$A$3:$A$287,'RELAÇÃO DE FORNECEDORES'!$C$3:$C$287)</f>
        <v>#N/A</v>
      </c>
    </row>
    <row r="17" spans="1:20" ht="30" x14ac:dyDescent="0.25">
      <c r="A17" s="11">
        <v>8</v>
      </c>
      <c r="B17" s="1" t="s">
        <v>516</v>
      </c>
      <c r="C17" s="2" t="s">
        <v>515</v>
      </c>
      <c r="D17" s="1" t="s">
        <v>4</v>
      </c>
      <c r="E17" s="8">
        <v>7</v>
      </c>
      <c r="F17" s="9">
        <v>30.27</v>
      </c>
      <c r="G17" s="15">
        <f t="shared" si="7"/>
        <v>211.89</v>
      </c>
      <c r="H17" s="6">
        <v>63.1</v>
      </c>
      <c r="I17" s="6">
        <f t="shared" si="0"/>
        <v>441.7</v>
      </c>
      <c r="J17" s="6">
        <v>0</v>
      </c>
      <c r="K17" s="7">
        <f t="shared" si="1"/>
        <v>0</v>
      </c>
      <c r="L17" s="6"/>
      <c r="M17" s="6">
        <f t="shared" si="2"/>
        <v>0</v>
      </c>
      <c r="N17" s="6"/>
      <c r="O17" s="7">
        <f t="shared" si="3"/>
        <v>0</v>
      </c>
      <c r="P17" s="13">
        <f t="shared" si="4"/>
        <v>30.27</v>
      </c>
      <c r="Q17" s="23" t="str">
        <f t="shared" si="5"/>
        <v>PARANA COM DE MAT ELET E SERV LTDA</v>
      </c>
      <c r="R17" s="1" t="str">
        <f>_xlfn.XLOOKUP(Q17,'RELAÇÃO DE FORNECEDORES'!$A$3:$A$287,'RELAÇÃO DE FORNECEDORES'!$B$3:$B$287)</f>
        <v>08.139.615/0001-05</v>
      </c>
      <c r="S17" s="1" t="str">
        <f>_xlfn.XLOOKUP(Q17,'RELAÇÃO DE FORNECEDORES'!$A$3:$A$287,'RELAÇÃO DE FORNECEDORES'!$E$3:$E$287)</f>
        <v>DANNYELLE</v>
      </c>
      <c r="T17" s="12">
        <f>_xlfn.XLOOKUP(Q17,'RELAÇÃO DE FORNECEDORES'!$A$3:$A$287,'RELAÇÃO DE FORNECEDORES'!$C$3:$C$287)</f>
        <v>44480</v>
      </c>
    </row>
    <row r="18" spans="1:20" ht="30" x14ac:dyDescent="0.25">
      <c r="A18" s="11">
        <v>9</v>
      </c>
      <c r="B18" s="1" t="s">
        <v>518</v>
      </c>
      <c r="C18" s="2" t="s">
        <v>517</v>
      </c>
      <c r="D18" s="1" t="s">
        <v>4</v>
      </c>
      <c r="E18" s="8">
        <v>4</v>
      </c>
      <c r="F18" s="9">
        <v>24.57</v>
      </c>
      <c r="G18" s="15">
        <f t="shared" si="7"/>
        <v>98.28</v>
      </c>
      <c r="H18" s="6">
        <v>25</v>
      </c>
      <c r="I18" s="6">
        <f t="shared" si="0"/>
        <v>100</v>
      </c>
      <c r="J18" s="6">
        <v>0</v>
      </c>
      <c r="K18" s="7">
        <f t="shared" si="1"/>
        <v>0</v>
      </c>
      <c r="L18" s="6"/>
      <c r="M18" s="6">
        <f t="shared" si="2"/>
        <v>0</v>
      </c>
      <c r="N18" s="6"/>
      <c r="O18" s="7">
        <f t="shared" si="3"/>
        <v>0</v>
      </c>
      <c r="P18" s="13">
        <f t="shared" si="4"/>
        <v>24.57</v>
      </c>
      <c r="Q18" s="23" t="str">
        <f t="shared" si="5"/>
        <v>PARANA COM DE MAT ELET E SERV LTDA</v>
      </c>
      <c r="R18" s="1" t="str">
        <f>_xlfn.XLOOKUP(Q18,'RELAÇÃO DE FORNECEDORES'!$A$3:$A$287,'RELAÇÃO DE FORNECEDORES'!$B$3:$B$287)</f>
        <v>08.139.615/0001-05</v>
      </c>
      <c r="S18" s="1" t="str">
        <f>_xlfn.XLOOKUP(Q18,'RELAÇÃO DE FORNECEDORES'!$A$3:$A$287,'RELAÇÃO DE FORNECEDORES'!$E$3:$E$287)</f>
        <v>DANNYELLE</v>
      </c>
      <c r="T18" s="12">
        <f>_xlfn.XLOOKUP(Q18,'RELAÇÃO DE FORNECEDORES'!$A$3:$A$287,'RELAÇÃO DE FORNECEDORES'!$C$3:$C$287)</f>
        <v>44480</v>
      </c>
    </row>
    <row r="19" spans="1:20" ht="30" x14ac:dyDescent="0.25">
      <c r="A19" s="11">
        <v>10</v>
      </c>
      <c r="B19" s="1" t="s">
        <v>519</v>
      </c>
      <c r="C19" s="2" t="s">
        <v>520</v>
      </c>
      <c r="D19" s="1" t="s">
        <v>4</v>
      </c>
      <c r="E19" s="8">
        <v>3</v>
      </c>
      <c r="F19" s="9">
        <v>30.11</v>
      </c>
      <c r="G19" s="15">
        <f t="shared" si="7"/>
        <v>90.33</v>
      </c>
      <c r="H19" s="6">
        <v>43.78</v>
      </c>
      <c r="I19" s="6">
        <f t="shared" si="0"/>
        <v>131.34</v>
      </c>
      <c r="J19" s="6">
        <v>0</v>
      </c>
      <c r="K19" s="7">
        <f t="shared" si="1"/>
        <v>0</v>
      </c>
      <c r="L19" s="6"/>
      <c r="M19" s="6">
        <f t="shared" si="2"/>
        <v>0</v>
      </c>
      <c r="N19" s="6"/>
      <c r="O19" s="7">
        <f t="shared" si="3"/>
        <v>0</v>
      </c>
      <c r="P19" s="13">
        <f t="shared" si="4"/>
        <v>30.11</v>
      </c>
      <c r="Q19" s="23" t="str">
        <f t="shared" si="5"/>
        <v>PARANA COM DE MAT ELET E SERV LTDA</v>
      </c>
      <c r="R19" s="1" t="str">
        <f>_xlfn.XLOOKUP(Q19,'RELAÇÃO DE FORNECEDORES'!$A$3:$A$287,'RELAÇÃO DE FORNECEDORES'!$B$3:$B$287)</f>
        <v>08.139.615/0001-05</v>
      </c>
      <c r="S19" s="1" t="str">
        <f>_xlfn.XLOOKUP(Q19,'RELAÇÃO DE FORNECEDORES'!$A$3:$A$287,'RELAÇÃO DE FORNECEDORES'!$E$3:$E$287)</f>
        <v>DANNYELLE</v>
      </c>
      <c r="T19" s="12">
        <f>_xlfn.XLOOKUP(Q19,'RELAÇÃO DE FORNECEDORES'!$A$3:$A$287,'RELAÇÃO DE FORNECEDORES'!$C$3:$C$287)</f>
        <v>44480</v>
      </c>
    </row>
    <row r="20" spans="1:20" ht="30" x14ac:dyDescent="0.25">
      <c r="A20" s="11">
        <v>11</v>
      </c>
      <c r="B20" s="1" t="s">
        <v>522</v>
      </c>
      <c r="C20" s="2" t="s">
        <v>521</v>
      </c>
      <c r="D20" s="1" t="s">
        <v>4</v>
      </c>
      <c r="E20" s="8">
        <v>4</v>
      </c>
      <c r="F20" s="9">
        <v>236.57</v>
      </c>
      <c r="G20" s="15">
        <f t="shared" si="7"/>
        <v>946.28</v>
      </c>
      <c r="H20" s="6">
        <v>619.20000000000005</v>
      </c>
      <c r="I20" s="6">
        <f t="shared" si="0"/>
        <v>2476.8000000000002</v>
      </c>
      <c r="J20" s="6">
        <v>0</v>
      </c>
      <c r="K20" s="7">
        <f t="shared" si="1"/>
        <v>0</v>
      </c>
      <c r="L20" s="6"/>
      <c r="M20" s="6">
        <f t="shared" si="2"/>
        <v>0</v>
      </c>
      <c r="N20" s="6"/>
      <c r="O20" s="7">
        <f t="shared" si="3"/>
        <v>0</v>
      </c>
      <c r="P20" s="13">
        <f t="shared" si="4"/>
        <v>236.57</v>
      </c>
      <c r="Q20" s="23" t="str">
        <f t="shared" si="5"/>
        <v>PARANA COM DE MAT ELET E SERV LTDA</v>
      </c>
      <c r="R20" s="1" t="str">
        <f>_xlfn.XLOOKUP(Q20,'RELAÇÃO DE FORNECEDORES'!$A$3:$A$287,'RELAÇÃO DE FORNECEDORES'!$B$3:$B$287)</f>
        <v>08.139.615/0001-05</v>
      </c>
      <c r="S20" s="1" t="str">
        <f>_xlfn.XLOOKUP(Q20,'RELAÇÃO DE FORNECEDORES'!$A$3:$A$287,'RELAÇÃO DE FORNECEDORES'!$E$3:$E$287)</f>
        <v>DANNYELLE</v>
      </c>
      <c r="T20" s="12">
        <f>_xlfn.XLOOKUP(Q20,'RELAÇÃO DE FORNECEDORES'!$A$3:$A$287,'RELAÇÃO DE FORNECEDORES'!$C$3:$C$287)</f>
        <v>44480</v>
      </c>
    </row>
    <row r="21" spans="1:20" ht="30" x14ac:dyDescent="0.25">
      <c r="A21" s="11">
        <v>12</v>
      </c>
      <c r="B21" s="1" t="s">
        <v>524</v>
      </c>
      <c r="C21" s="2" t="s">
        <v>523</v>
      </c>
      <c r="D21" s="1" t="s">
        <v>4</v>
      </c>
      <c r="E21" s="8">
        <v>2</v>
      </c>
      <c r="F21" s="9">
        <v>477.49</v>
      </c>
      <c r="G21" s="15">
        <f t="shared" si="7"/>
        <v>954.98</v>
      </c>
      <c r="H21" s="6">
        <v>560</v>
      </c>
      <c r="I21" s="6">
        <f t="shared" si="0"/>
        <v>1120</v>
      </c>
      <c r="J21" s="6">
        <v>0</v>
      </c>
      <c r="K21" s="7">
        <f t="shared" si="1"/>
        <v>0</v>
      </c>
      <c r="L21" s="6"/>
      <c r="M21" s="6">
        <f t="shared" si="2"/>
        <v>0</v>
      </c>
      <c r="N21" s="6"/>
      <c r="O21" s="7">
        <f t="shared" si="3"/>
        <v>0</v>
      </c>
      <c r="P21" s="13">
        <f t="shared" si="4"/>
        <v>477.49</v>
      </c>
      <c r="Q21" s="23" t="str">
        <f t="shared" si="5"/>
        <v>PARANA COM DE MAT ELET E SERV LTDA</v>
      </c>
      <c r="R21" s="1" t="str">
        <f>_xlfn.XLOOKUP(Q21,'RELAÇÃO DE FORNECEDORES'!$A$3:$A$287,'RELAÇÃO DE FORNECEDORES'!$B$3:$B$287)</f>
        <v>08.139.615/0001-05</v>
      </c>
      <c r="S21" s="1" t="str">
        <f>_xlfn.XLOOKUP(Q21,'RELAÇÃO DE FORNECEDORES'!$A$3:$A$287,'RELAÇÃO DE FORNECEDORES'!$E$3:$E$287)</f>
        <v>DANNYELLE</v>
      </c>
      <c r="T21" s="12">
        <f>_xlfn.XLOOKUP(Q21,'RELAÇÃO DE FORNECEDORES'!$A$3:$A$287,'RELAÇÃO DE FORNECEDORES'!$C$3:$C$287)</f>
        <v>44480</v>
      </c>
    </row>
    <row r="22" spans="1:20" ht="30" x14ac:dyDescent="0.25">
      <c r="A22" s="11">
        <v>13</v>
      </c>
      <c r="B22" s="1" t="s">
        <v>526</v>
      </c>
      <c r="C22" s="2" t="s">
        <v>525</v>
      </c>
      <c r="D22" s="1" t="s">
        <v>4</v>
      </c>
      <c r="E22" s="8">
        <v>8</v>
      </c>
      <c r="F22" s="9">
        <v>33.79</v>
      </c>
      <c r="G22" s="15">
        <f t="shared" si="7"/>
        <v>270.32</v>
      </c>
      <c r="H22" s="6">
        <v>71.400000000000006</v>
      </c>
      <c r="I22" s="6">
        <f t="shared" si="0"/>
        <v>571.20000000000005</v>
      </c>
      <c r="J22" s="6">
        <v>0</v>
      </c>
      <c r="K22" s="7">
        <f t="shared" si="1"/>
        <v>0</v>
      </c>
      <c r="L22" s="6"/>
      <c r="M22" s="6">
        <f t="shared" si="2"/>
        <v>0</v>
      </c>
      <c r="N22" s="6"/>
      <c r="O22" s="7">
        <f t="shared" si="3"/>
        <v>0</v>
      </c>
      <c r="P22" s="13">
        <f t="shared" si="4"/>
        <v>33.79</v>
      </c>
      <c r="Q22" s="23" t="str">
        <f t="shared" si="5"/>
        <v>PARANA COM DE MAT ELET E SERV LTDA</v>
      </c>
      <c r="R22" s="1" t="str">
        <f>_xlfn.XLOOKUP(Q22,'RELAÇÃO DE FORNECEDORES'!$A$3:$A$287,'RELAÇÃO DE FORNECEDORES'!$B$3:$B$287)</f>
        <v>08.139.615/0001-05</v>
      </c>
      <c r="S22" s="1" t="str">
        <f>_xlfn.XLOOKUP(Q22,'RELAÇÃO DE FORNECEDORES'!$A$3:$A$287,'RELAÇÃO DE FORNECEDORES'!$E$3:$E$287)</f>
        <v>DANNYELLE</v>
      </c>
      <c r="T22" s="12">
        <f>_xlfn.XLOOKUP(Q22,'RELAÇÃO DE FORNECEDORES'!$A$3:$A$287,'RELAÇÃO DE FORNECEDORES'!$C$3:$C$287)</f>
        <v>44480</v>
      </c>
    </row>
    <row r="23" spans="1:20" ht="30" x14ac:dyDescent="0.25">
      <c r="A23" s="11">
        <v>14</v>
      </c>
      <c r="B23" s="1" t="s">
        <v>528</v>
      </c>
      <c r="C23" s="2" t="s">
        <v>527</v>
      </c>
      <c r="D23" s="1" t="s">
        <v>4</v>
      </c>
      <c r="E23" s="8">
        <v>1</v>
      </c>
      <c r="F23" s="9">
        <v>54.36</v>
      </c>
      <c r="G23" s="15">
        <f t="shared" si="7"/>
        <v>54.36</v>
      </c>
      <c r="H23" s="6">
        <v>68</v>
      </c>
      <c r="I23" s="6">
        <f t="shared" si="0"/>
        <v>68</v>
      </c>
      <c r="J23" s="6">
        <v>0</v>
      </c>
      <c r="K23" s="7">
        <f t="shared" si="1"/>
        <v>0</v>
      </c>
      <c r="L23" s="6"/>
      <c r="M23" s="6">
        <f t="shared" si="2"/>
        <v>0</v>
      </c>
      <c r="N23" s="6"/>
      <c r="O23" s="7">
        <f t="shared" si="3"/>
        <v>0</v>
      </c>
      <c r="P23" s="13">
        <f t="shared" si="4"/>
        <v>54.36</v>
      </c>
      <c r="Q23" s="23" t="str">
        <f t="shared" si="5"/>
        <v>PARANA COM DE MAT ELET E SERV LTDA</v>
      </c>
      <c r="R23" s="1" t="str">
        <f>_xlfn.XLOOKUP(Q23,'RELAÇÃO DE FORNECEDORES'!$A$3:$A$287,'RELAÇÃO DE FORNECEDORES'!$B$3:$B$287)</f>
        <v>08.139.615/0001-05</v>
      </c>
      <c r="S23" s="1" t="str">
        <f>_xlfn.XLOOKUP(Q23,'RELAÇÃO DE FORNECEDORES'!$A$3:$A$287,'RELAÇÃO DE FORNECEDORES'!$E$3:$E$287)</f>
        <v>DANNYELLE</v>
      </c>
      <c r="T23" s="12">
        <f>_xlfn.XLOOKUP(Q23,'RELAÇÃO DE FORNECEDORES'!$A$3:$A$287,'RELAÇÃO DE FORNECEDORES'!$C$3:$C$287)</f>
        <v>44480</v>
      </c>
    </row>
    <row r="24" spans="1:20" ht="30" x14ac:dyDescent="0.25">
      <c r="A24" s="11">
        <v>15</v>
      </c>
      <c r="B24" s="1" t="s">
        <v>530</v>
      </c>
      <c r="C24" s="2" t="s">
        <v>529</v>
      </c>
      <c r="D24" s="1" t="s">
        <v>4</v>
      </c>
      <c r="E24" s="8">
        <v>3</v>
      </c>
      <c r="F24" s="9">
        <v>30.24</v>
      </c>
      <c r="G24" s="15">
        <f t="shared" si="7"/>
        <v>90.72</v>
      </c>
      <c r="H24" s="6">
        <v>63.1</v>
      </c>
      <c r="I24" s="6">
        <f t="shared" si="0"/>
        <v>189.3</v>
      </c>
      <c r="J24" s="6">
        <v>0</v>
      </c>
      <c r="K24" s="7">
        <f t="shared" si="1"/>
        <v>0</v>
      </c>
      <c r="L24" s="6"/>
      <c r="M24" s="6">
        <f t="shared" si="2"/>
        <v>0</v>
      </c>
      <c r="N24" s="6"/>
      <c r="O24" s="7">
        <f t="shared" si="3"/>
        <v>0</v>
      </c>
      <c r="P24" s="13">
        <f t="shared" si="4"/>
        <v>30.24</v>
      </c>
      <c r="Q24" s="23" t="str">
        <f t="shared" si="5"/>
        <v>PARANA COM DE MAT ELET E SERV LTDA</v>
      </c>
      <c r="R24" s="1" t="str">
        <f>_xlfn.XLOOKUP(Q24,'RELAÇÃO DE FORNECEDORES'!$A$3:$A$287,'RELAÇÃO DE FORNECEDORES'!$B$3:$B$287)</f>
        <v>08.139.615/0001-05</v>
      </c>
      <c r="S24" s="1" t="str">
        <f>_xlfn.XLOOKUP(Q24,'RELAÇÃO DE FORNECEDORES'!$A$3:$A$287,'RELAÇÃO DE FORNECEDORES'!$E$3:$E$287)</f>
        <v>DANNYELLE</v>
      </c>
      <c r="T24" s="12">
        <f>_xlfn.XLOOKUP(Q24,'RELAÇÃO DE FORNECEDORES'!$A$3:$A$287,'RELAÇÃO DE FORNECEDORES'!$C$3:$C$287)</f>
        <v>44480</v>
      </c>
    </row>
    <row r="25" spans="1:20" ht="30" x14ac:dyDescent="0.25">
      <c r="A25" s="11">
        <v>16</v>
      </c>
      <c r="B25" s="1" t="s">
        <v>532</v>
      </c>
      <c r="C25" s="2" t="s">
        <v>531</v>
      </c>
      <c r="D25" s="1" t="s">
        <v>4</v>
      </c>
      <c r="E25" s="8">
        <v>18</v>
      </c>
      <c r="F25" s="9">
        <v>119.89</v>
      </c>
      <c r="G25" s="15">
        <f t="shared" si="7"/>
        <v>2158.02</v>
      </c>
      <c r="H25" s="6">
        <v>154.1</v>
      </c>
      <c r="I25" s="6">
        <f t="shared" si="0"/>
        <v>2773.7999999999997</v>
      </c>
      <c r="J25" s="6">
        <v>0</v>
      </c>
      <c r="K25" s="7">
        <f t="shared" si="1"/>
        <v>0</v>
      </c>
      <c r="L25" s="6"/>
      <c r="M25" s="6">
        <f t="shared" si="2"/>
        <v>0</v>
      </c>
      <c r="N25" s="6"/>
      <c r="O25" s="7">
        <f t="shared" si="3"/>
        <v>0</v>
      </c>
      <c r="P25" s="13">
        <f t="shared" si="4"/>
        <v>119.89</v>
      </c>
      <c r="Q25" s="23" t="str">
        <f t="shared" si="5"/>
        <v>PARANA COM DE MAT ELET E SERV LTDA</v>
      </c>
      <c r="R25" s="1" t="str">
        <f>_xlfn.XLOOKUP(Q25,'RELAÇÃO DE FORNECEDORES'!$A$3:$A$287,'RELAÇÃO DE FORNECEDORES'!$B$3:$B$287)</f>
        <v>08.139.615/0001-05</v>
      </c>
      <c r="S25" s="1" t="str">
        <f>_xlfn.XLOOKUP(Q25,'RELAÇÃO DE FORNECEDORES'!$A$3:$A$287,'RELAÇÃO DE FORNECEDORES'!$E$3:$E$287)</f>
        <v>DANNYELLE</v>
      </c>
      <c r="T25" s="12">
        <f>_xlfn.XLOOKUP(Q25,'RELAÇÃO DE FORNECEDORES'!$A$3:$A$287,'RELAÇÃO DE FORNECEDORES'!$C$3:$C$287)</f>
        <v>44480</v>
      </c>
    </row>
  </sheetData>
  <mergeCells count="20">
    <mergeCell ref="J7:K7"/>
    <mergeCell ref="L7:M7"/>
    <mergeCell ref="N7:O7"/>
    <mergeCell ref="H6:I6"/>
    <mergeCell ref="J6:K6"/>
    <mergeCell ref="L6:M6"/>
    <mergeCell ref="N6:O6"/>
    <mergeCell ref="P6:T7"/>
    <mergeCell ref="A4:T4"/>
    <mergeCell ref="A5:E5"/>
    <mergeCell ref="F5:O5"/>
    <mergeCell ref="P5:T5"/>
    <mergeCell ref="A6:A8"/>
    <mergeCell ref="B6:B8"/>
    <mergeCell ref="C6:C8"/>
    <mergeCell ref="D6:D8"/>
    <mergeCell ref="E6:E7"/>
    <mergeCell ref="F6:G6"/>
    <mergeCell ref="F7:G7"/>
    <mergeCell ref="H7:I7"/>
  </mergeCells>
  <pageMargins left="0.511811024" right="0.511811024" top="0.78740157499999996" bottom="0.78740157499999996" header="0.31496062000000002" footer="0.31496062000000002"/>
  <pageSetup paperSize="9" scale="50" orientation="landscape" horizontalDpi="4294967292"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'RELAÇÃO DE FORNECEDORES'!$A$3:$A$360</xm:f>
          </x14:formula1>
          <xm:sqref>F7:O7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5"/>
  <sheetViews>
    <sheetView showWhiteSpace="0" view="pageLayout" zoomScaleNormal="100" workbookViewId="0">
      <selection activeCell="E36" sqref="E36"/>
    </sheetView>
  </sheetViews>
  <sheetFormatPr defaultColWidth="9.140625" defaultRowHeight="12.75" x14ac:dyDescent="0.25"/>
  <cols>
    <col min="1" max="1" width="39" style="68" customWidth="1"/>
    <col min="2" max="2" width="23.5703125" style="64" customWidth="1"/>
    <col min="3" max="4" width="15.28515625" style="64" customWidth="1"/>
    <col min="5" max="5" width="20.140625" style="64" customWidth="1"/>
    <col min="6" max="6" width="37.5703125" style="64" bestFit="1" customWidth="1"/>
    <col min="7" max="16384" width="9.140625" style="64"/>
  </cols>
  <sheetData>
    <row r="1" spans="1:5" x14ac:dyDescent="0.25">
      <c r="A1" s="98" t="s">
        <v>22</v>
      </c>
      <c r="B1" s="98"/>
      <c r="C1" s="98"/>
      <c r="D1" s="98"/>
      <c r="E1" s="98"/>
    </row>
    <row r="2" spans="1:5" s="65" customFormat="1" ht="25.5" x14ac:dyDescent="0.25">
      <c r="A2" s="65" t="s">
        <v>7</v>
      </c>
      <c r="B2" s="65" t="s">
        <v>8</v>
      </c>
      <c r="C2" s="65" t="s">
        <v>14</v>
      </c>
      <c r="D2" s="65" t="s">
        <v>84</v>
      </c>
      <c r="E2" s="65" t="s">
        <v>9</v>
      </c>
    </row>
    <row r="3" spans="1:5" x14ac:dyDescent="0.25">
      <c r="A3" s="66" t="s">
        <v>10</v>
      </c>
      <c r="B3" s="64" t="s">
        <v>11</v>
      </c>
      <c r="C3" s="67">
        <v>44330</v>
      </c>
      <c r="D3" s="67" t="s">
        <v>85</v>
      </c>
      <c r="E3" s="64" t="s">
        <v>12</v>
      </c>
    </row>
    <row r="4" spans="1:5" ht="25.5" x14ac:dyDescent="0.25">
      <c r="A4" s="66" t="s">
        <v>28</v>
      </c>
      <c r="B4" s="64" t="s">
        <v>29</v>
      </c>
      <c r="C4" s="67">
        <v>44376</v>
      </c>
      <c r="D4" s="67"/>
      <c r="E4" s="64" t="s">
        <v>30</v>
      </c>
    </row>
    <row r="5" spans="1:5" x14ac:dyDescent="0.25">
      <c r="A5" s="66" t="s">
        <v>31</v>
      </c>
      <c r="B5" s="64" t="s">
        <v>176</v>
      </c>
      <c r="C5" s="67">
        <v>44327</v>
      </c>
      <c r="D5" s="64" t="s">
        <v>177</v>
      </c>
      <c r="E5" s="64" t="s">
        <v>32</v>
      </c>
    </row>
    <row r="6" spans="1:5" x14ac:dyDescent="0.25">
      <c r="A6" s="66" t="s">
        <v>33</v>
      </c>
      <c r="B6" s="64" t="s">
        <v>34</v>
      </c>
      <c r="C6" s="67">
        <v>44326</v>
      </c>
      <c r="D6" s="67" t="s">
        <v>178</v>
      </c>
      <c r="E6" s="64" t="s">
        <v>35</v>
      </c>
    </row>
    <row r="7" spans="1:5" x14ac:dyDescent="0.25">
      <c r="A7" s="66" t="s">
        <v>36</v>
      </c>
      <c r="B7" s="64" t="s">
        <v>175</v>
      </c>
      <c r="C7" s="67">
        <v>44329</v>
      </c>
      <c r="D7" s="67" t="s">
        <v>179</v>
      </c>
      <c r="E7" s="64" t="s">
        <v>37</v>
      </c>
    </row>
    <row r="8" spans="1:5" x14ac:dyDescent="0.25">
      <c r="A8" s="66" t="s">
        <v>38</v>
      </c>
      <c r="B8" s="64" t="s">
        <v>39</v>
      </c>
      <c r="C8" s="67">
        <v>44322</v>
      </c>
      <c r="D8" s="67" t="s">
        <v>125</v>
      </c>
      <c r="E8" s="64" t="s">
        <v>40</v>
      </c>
    </row>
    <row r="9" spans="1:5" x14ac:dyDescent="0.25">
      <c r="A9" s="66" t="s">
        <v>104</v>
      </c>
      <c r="B9" s="64" t="s">
        <v>105</v>
      </c>
      <c r="C9" s="67">
        <v>44321</v>
      </c>
      <c r="D9" s="64" t="s">
        <v>106</v>
      </c>
      <c r="E9" s="64" t="s">
        <v>41</v>
      </c>
    </row>
    <row r="10" spans="1:5" x14ac:dyDescent="0.25">
      <c r="A10" s="66" t="s">
        <v>43</v>
      </c>
      <c r="B10" s="64" t="s">
        <v>174</v>
      </c>
      <c r="C10" s="67">
        <v>44330</v>
      </c>
      <c r="D10" s="67"/>
      <c r="E10" s="64" t="s">
        <v>44</v>
      </c>
    </row>
    <row r="11" spans="1:5" x14ac:dyDescent="0.25">
      <c r="A11" s="66" t="s">
        <v>46</v>
      </c>
      <c r="B11" s="64" t="s">
        <v>47</v>
      </c>
      <c r="C11" s="67">
        <v>44425</v>
      </c>
      <c r="D11" s="67"/>
      <c r="E11" s="64" t="s">
        <v>48</v>
      </c>
    </row>
    <row r="12" spans="1:5" x14ac:dyDescent="0.25">
      <c r="A12" s="66" t="s">
        <v>49</v>
      </c>
      <c r="B12" s="64" t="s">
        <v>50</v>
      </c>
      <c r="C12" s="67">
        <v>44337</v>
      </c>
      <c r="D12" s="67"/>
      <c r="E12" s="64" t="s">
        <v>51</v>
      </c>
    </row>
    <row r="13" spans="1:5" x14ac:dyDescent="0.25">
      <c r="A13" s="66" t="s">
        <v>97</v>
      </c>
      <c r="B13" s="64" t="s">
        <v>98</v>
      </c>
      <c r="C13" s="67">
        <v>44477</v>
      </c>
      <c r="D13" s="64" t="s">
        <v>99</v>
      </c>
      <c r="E13" s="64" t="s">
        <v>100</v>
      </c>
    </row>
    <row r="14" spans="1:5" x14ac:dyDescent="0.25">
      <c r="A14" s="66" t="s">
        <v>101</v>
      </c>
      <c r="B14" s="64" t="s">
        <v>102</v>
      </c>
      <c r="C14" s="67">
        <v>44480</v>
      </c>
      <c r="E14" s="64" t="s">
        <v>103</v>
      </c>
    </row>
    <row r="15" spans="1:5" x14ac:dyDescent="0.25">
      <c r="A15" s="66" t="s">
        <v>110</v>
      </c>
      <c r="B15" s="64" t="s">
        <v>111</v>
      </c>
      <c r="C15" s="67">
        <v>44467</v>
      </c>
      <c r="D15" s="64" t="s">
        <v>113</v>
      </c>
      <c r="E15" s="64" t="s">
        <v>112</v>
      </c>
    </row>
    <row r="16" spans="1:5" x14ac:dyDescent="0.25">
      <c r="A16" s="66" t="s">
        <v>115</v>
      </c>
      <c r="B16" s="64" t="s">
        <v>116</v>
      </c>
      <c r="C16" s="67">
        <v>44476</v>
      </c>
      <c r="D16" s="64" t="s">
        <v>118</v>
      </c>
      <c r="E16" s="64" t="s">
        <v>117</v>
      </c>
    </row>
    <row r="17" spans="1:6" x14ac:dyDescent="0.25">
      <c r="A17" s="66" t="s">
        <v>138</v>
      </c>
      <c r="B17" s="64" t="s">
        <v>139</v>
      </c>
      <c r="C17" s="67">
        <v>44322</v>
      </c>
      <c r="D17" s="64" t="s">
        <v>140</v>
      </c>
      <c r="E17" s="64" t="s">
        <v>141</v>
      </c>
    </row>
    <row r="18" spans="1:6" x14ac:dyDescent="0.25">
      <c r="A18" s="66" t="s">
        <v>148</v>
      </c>
      <c r="B18" s="64" t="s">
        <v>149</v>
      </c>
      <c r="C18" s="67">
        <v>44327</v>
      </c>
      <c r="D18" s="64" t="s">
        <v>150</v>
      </c>
      <c r="E18" s="64" t="s">
        <v>151</v>
      </c>
    </row>
    <row r="19" spans="1:6" x14ac:dyDescent="0.25">
      <c r="A19" s="68" t="s">
        <v>202</v>
      </c>
      <c r="B19" s="64" t="s">
        <v>203</v>
      </c>
      <c r="C19" s="67">
        <v>44547</v>
      </c>
      <c r="D19" s="64" t="s">
        <v>204</v>
      </c>
      <c r="E19" s="64" t="s">
        <v>205</v>
      </c>
    </row>
    <row r="20" spans="1:6" x14ac:dyDescent="0.25">
      <c r="A20" s="68" t="s">
        <v>206</v>
      </c>
      <c r="B20" s="64" t="s">
        <v>207</v>
      </c>
      <c r="C20" s="67">
        <v>44547</v>
      </c>
      <c r="D20" s="64" t="s">
        <v>208</v>
      </c>
      <c r="E20" s="64" t="s">
        <v>209</v>
      </c>
    </row>
    <row r="21" spans="1:6" x14ac:dyDescent="0.25">
      <c r="A21" s="68" t="s">
        <v>210</v>
      </c>
      <c r="B21" s="64" t="s">
        <v>211</v>
      </c>
      <c r="C21" s="67">
        <v>44546</v>
      </c>
      <c r="D21" s="64" t="s">
        <v>212</v>
      </c>
      <c r="E21" s="64" t="s">
        <v>213</v>
      </c>
    </row>
    <row r="22" spans="1:6" x14ac:dyDescent="0.25">
      <c r="A22" s="68" t="s">
        <v>237</v>
      </c>
      <c r="B22" s="64" t="s">
        <v>238</v>
      </c>
      <c r="C22" s="67">
        <v>44547</v>
      </c>
      <c r="D22" s="64" t="s">
        <v>239</v>
      </c>
      <c r="E22" s="64" t="s">
        <v>240</v>
      </c>
    </row>
    <row r="23" spans="1:6" x14ac:dyDescent="0.25">
      <c r="A23" s="68" t="s">
        <v>433</v>
      </c>
      <c r="B23" s="64" t="s">
        <v>438</v>
      </c>
      <c r="C23" s="67">
        <v>44504</v>
      </c>
      <c r="D23" s="64" t="s">
        <v>434</v>
      </c>
      <c r="E23" s="64" t="s">
        <v>435</v>
      </c>
    </row>
    <row r="24" spans="1:6" x14ac:dyDescent="0.25">
      <c r="A24" s="68" t="s">
        <v>535</v>
      </c>
      <c r="B24" s="64" t="s">
        <v>437</v>
      </c>
      <c r="C24" s="67">
        <v>44574</v>
      </c>
      <c r="D24" s="64" t="s">
        <v>439</v>
      </c>
      <c r="E24" s="64" t="s">
        <v>440</v>
      </c>
    </row>
    <row r="25" spans="1:6" x14ac:dyDescent="0.25">
      <c r="A25" s="68" t="s">
        <v>441</v>
      </c>
      <c r="B25" s="64" t="s">
        <v>442</v>
      </c>
      <c r="C25" s="67">
        <v>44573</v>
      </c>
      <c r="D25" s="64" t="s">
        <v>443</v>
      </c>
      <c r="E25" s="64" t="s">
        <v>444</v>
      </c>
    </row>
    <row r="26" spans="1:6" x14ac:dyDescent="0.25">
      <c r="A26" s="68" t="s">
        <v>447</v>
      </c>
      <c r="B26" s="64" t="s">
        <v>448</v>
      </c>
      <c r="C26" s="67">
        <v>44508</v>
      </c>
      <c r="D26" s="64" t="s">
        <v>449</v>
      </c>
      <c r="E26" s="64" t="s">
        <v>450</v>
      </c>
    </row>
    <row r="27" spans="1:6" x14ac:dyDescent="0.25">
      <c r="A27" s="68" t="s">
        <v>451</v>
      </c>
      <c r="B27" s="64" t="s">
        <v>452</v>
      </c>
      <c r="C27" s="67">
        <v>44511</v>
      </c>
      <c r="D27" s="64" t="s">
        <v>453</v>
      </c>
      <c r="E27" s="64" t="s">
        <v>454</v>
      </c>
    </row>
    <row r="28" spans="1:6" x14ac:dyDescent="0.25">
      <c r="A28" s="68" t="s">
        <v>457</v>
      </c>
      <c r="B28" s="64" t="s">
        <v>458</v>
      </c>
      <c r="C28" s="67">
        <v>44517</v>
      </c>
      <c r="D28" s="64" t="s">
        <v>459</v>
      </c>
      <c r="E28" s="64" t="s">
        <v>460</v>
      </c>
    </row>
    <row r="29" spans="1:6" x14ac:dyDescent="0.25">
      <c r="A29" s="68" t="s">
        <v>461</v>
      </c>
      <c r="B29" s="64" t="s">
        <v>462</v>
      </c>
      <c r="C29" s="67">
        <v>44510</v>
      </c>
      <c r="D29" s="64" t="s">
        <v>463</v>
      </c>
      <c r="E29" s="64" t="s">
        <v>100</v>
      </c>
    </row>
    <row r="30" spans="1:6" x14ac:dyDescent="0.2">
      <c r="A30" s="69" t="s">
        <v>464</v>
      </c>
      <c r="B30" s="64" t="s">
        <v>465</v>
      </c>
      <c r="C30" s="67">
        <v>44207</v>
      </c>
      <c r="D30" s="64" t="s">
        <v>466</v>
      </c>
      <c r="E30" s="64" t="s">
        <v>467</v>
      </c>
      <c r="F30" s="70"/>
    </row>
    <row r="31" spans="1:6" x14ac:dyDescent="0.2">
      <c r="A31" s="68" t="s">
        <v>468</v>
      </c>
      <c r="B31" s="64" t="s">
        <v>469</v>
      </c>
      <c r="C31" s="67">
        <v>44516</v>
      </c>
      <c r="D31" s="64" t="s">
        <v>470</v>
      </c>
      <c r="E31" s="64" t="s">
        <v>471</v>
      </c>
      <c r="F31" s="63"/>
    </row>
    <row r="32" spans="1:6" x14ac:dyDescent="0.25">
      <c r="A32" s="68" t="s">
        <v>472</v>
      </c>
      <c r="B32" s="64" t="s">
        <v>473</v>
      </c>
      <c r="C32" s="67">
        <v>44508</v>
      </c>
      <c r="D32" s="64" t="s">
        <v>474</v>
      </c>
      <c r="E32" s="64" t="s">
        <v>475</v>
      </c>
    </row>
    <row r="33" spans="1:5" x14ac:dyDescent="0.25">
      <c r="A33" s="68" t="s">
        <v>499</v>
      </c>
      <c r="B33" s="64" t="s">
        <v>500</v>
      </c>
      <c r="C33" s="67">
        <v>44480</v>
      </c>
      <c r="D33" s="64" t="s">
        <v>501</v>
      </c>
      <c r="E33" s="64" t="s">
        <v>502</v>
      </c>
    </row>
    <row r="34" spans="1:5" x14ac:dyDescent="0.25">
      <c r="A34" s="68" t="s">
        <v>503</v>
      </c>
      <c r="B34" s="64" t="s">
        <v>504</v>
      </c>
      <c r="C34" s="67">
        <v>44480</v>
      </c>
      <c r="D34" s="64" t="s">
        <v>505</v>
      </c>
      <c r="E34" s="64" t="s">
        <v>506</v>
      </c>
    </row>
    <row r="35" spans="1:5" x14ac:dyDescent="0.25">
      <c r="A35" s="68" t="s">
        <v>548</v>
      </c>
      <c r="B35" s="64" t="s">
        <v>549</v>
      </c>
      <c r="C35" s="67">
        <v>44624</v>
      </c>
      <c r="D35" s="64" t="s">
        <v>550</v>
      </c>
      <c r="E35" s="64" t="s">
        <v>551</v>
      </c>
    </row>
  </sheetData>
  <mergeCells count="1">
    <mergeCell ref="A1:E1"/>
  </mergeCells>
  <pageMargins left="0.511811024" right="0.511811024" top="0.78740157499999996" bottom="0.78740157499999996" header="0.31496062000000002" footer="0.31496062000000002"/>
  <pageSetup paperSize="9" scale="80"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15"/>
  <sheetViews>
    <sheetView workbookViewId="0">
      <selection activeCell="E15" sqref="E15"/>
    </sheetView>
  </sheetViews>
  <sheetFormatPr defaultRowHeight="15" x14ac:dyDescent="0.25"/>
  <sheetData>
    <row r="2" spans="3:12" x14ac:dyDescent="0.25">
      <c r="H2" s="99" t="s">
        <v>566</v>
      </c>
      <c r="I2" s="99"/>
      <c r="K2" s="99" t="s">
        <v>567</v>
      </c>
      <c r="L2" s="99"/>
    </row>
    <row r="3" spans="3:12" x14ac:dyDescent="0.25">
      <c r="H3" t="s">
        <v>564</v>
      </c>
      <c r="I3">
        <f>1*1*0.6</f>
        <v>0.6</v>
      </c>
      <c r="K3" t="s">
        <v>564</v>
      </c>
      <c r="L3">
        <f>2.3*2.3*2.07</f>
        <v>10.950299999999997</v>
      </c>
    </row>
    <row r="4" spans="3:12" x14ac:dyDescent="0.25">
      <c r="H4" t="s">
        <v>565</v>
      </c>
      <c r="I4">
        <f>(1+1+1+1)*0.6</f>
        <v>2.4</v>
      </c>
      <c r="K4" t="s">
        <v>565</v>
      </c>
      <c r="L4">
        <f>(2.3+2.3+2.3+2.3)*2.07</f>
        <v>19.043999999999997</v>
      </c>
    </row>
    <row r="6" spans="3:12" x14ac:dyDescent="0.25">
      <c r="C6">
        <v>5678</v>
      </c>
      <c r="D6">
        <v>1.9699999999999999E-2</v>
      </c>
      <c r="E6" s="77">
        <f>(D6/I3)*L3</f>
        <v>0.35953484999999991</v>
      </c>
    </row>
    <row r="7" spans="3:12" x14ac:dyDescent="0.25">
      <c r="C7">
        <v>5679</v>
      </c>
      <c r="D7">
        <v>6.6400000000000001E-2</v>
      </c>
      <c r="E7" s="77">
        <f>(D7/I3)*L3</f>
        <v>1.2118331999999998</v>
      </c>
    </row>
    <row r="8" spans="3:12" x14ac:dyDescent="0.25">
      <c r="C8">
        <v>87316</v>
      </c>
      <c r="D8">
        <v>2.0999999999999999E-3</v>
      </c>
      <c r="E8" s="77">
        <f>(D8/$I$4)*$L$4</f>
        <v>1.6663499999999998E-2</v>
      </c>
    </row>
    <row r="9" spans="3:12" x14ac:dyDescent="0.25">
      <c r="C9">
        <v>88309</v>
      </c>
      <c r="D9">
        <v>7.2592999999999996</v>
      </c>
      <c r="E9" s="77">
        <f t="shared" ref="E9:E15" si="0">(D9/$I$4)*$L$4</f>
        <v>57.602545499999991</v>
      </c>
      <c r="J9">
        <f>33.8476/I4</f>
        <v>14.103166666666667</v>
      </c>
    </row>
    <row r="10" spans="3:12" x14ac:dyDescent="0.25">
      <c r="C10">
        <v>88316</v>
      </c>
      <c r="D10">
        <v>7.2592999999999996</v>
      </c>
      <c r="E10" s="77">
        <f t="shared" si="0"/>
        <v>57.602545499999991</v>
      </c>
    </row>
    <row r="11" spans="3:12" x14ac:dyDescent="0.25">
      <c r="C11">
        <v>88628</v>
      </c>
      <c r="D11">
        <v>0.1404</v>
      </c>
      <c r="E11" s="77">
        <f t="shared" si="0"/>
        <v>1.1140739999999998</v>
      </c>
    </row>
    <row r="12" spans="3:12" x14ac:dyDescent="0.25">
      <c r="C12">
        <v>94970</v>
      </c>
      <c r="D12">
        <v>0.16750000000000001</v>
      </c>
      <c r="E12" s="77">
        <f t="shared" si="0"/>
        <v>1.3291124999999999</v>
      </c>
    </row>
    <row r="13" spans="3:12" x14ac:dyDescent="0.25">
      <c r="C13">
        <v>97736</v>
      </c>
      <c r="D13">
        <v>0.1008</v>
      </c>
      <c r="E13" s="77">
        <f>(2.3*2.3*0.2)+(0.3*0.55*0.73)</f>
        <v>1.1784499999999998</v>
      </c>
    </row>
    <row r="14" spans="3:12" x14ac:dyDescent="0.25">
      <c r="C14">
        <v>101617</v>
      </c>
      <c r="D14">
        <v>1.69</v>
      </c>
      <c r="E14" s="77">
        <f>2.3*2.3</f>
        <v>5.2899999999999991</v>
      </c>
    </row>
    <row r="15" spans="3:12" x14ac:dyDescent="0.25">
      <c r="C15">
        <v>650</v>
      </c>
      <c r="D15">
        <v>33.8476</v>
      </c>
      <c r="E15" s="77">
        <f t="shared" si="0"/>
        <v>268.58070599999996</v>
      </c>
    </row>
  </sheetData>
  <mergeCells count="2">
    <mergeCell ref="H2:I2"/>
    <mergeCell ref="K2:L2"/>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CAPTAÇÃO ÁGUA BRUTA</vt:lpstr>
      <vt:lpstr>ETA</vt:lpstr>
      <vt:lpstr>RAP ETA</vt:lpstr>
      <vt:lpstr>RAP FLORAIS</vt:lpstr>
      <vt:lpstr>ELÉTRICA</vt:lpstr>
      <vt:lpstr>RELAÇÃO DE FORNECEDORES</vt: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Douglas Feijó de Oliveira</dc:creator>
  <cp:lastModifiedBy>Engenharia</cp:lastModifiedBy>
  <dcterms:created xsi:type="dcterms:W3CDTF">2021-08-11T20:21:21Z</dcterms:created>
  <dcterms:modified xsi:type="dcterms:W3CDTF">2022-03-15T21:30:02Z</dcterms:modified>
</cp:coreProperties>
</file>